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29"/>
  <workbookPr defaultThemeVersion="166925"/>
  <mc:AlternateContent xmlns:mc="http://schemas.openxmlformats.org/markup-compatibility/2006">
    <mc:Choice Requires="x15">
      <x15ac:absPath xmlns:x15ac="http://schemas.microsoft.com/office/spreadsheetml/2010/11/ac" url="C:\Users\rw28663\Downloads\"/>
    </mc:Choice>
  </mc:AlternateContent>
  <xr:revisionPtr revIDLastSave="0" documentId="13_ncr:1_{A6573550-FBC6-4F5D-82C9-8262A73594F8}" xr6:coauthVersionLast="45" xr6:coauthVersionMax="45" xr10:uidLastSave="{00000000-0000-0000-0000-000000000000}"/>
  <bookViews>
    <workbookView xWindow="-110" yWindow="-110" windowWidth="19420" windowHeight="10420" firstSheet="1" activeTab="1" xr2:uid="{00000000-000D-0000-FFFF-FFFF00000000}"/>
  </bookViews>
  <sheets>
    <sheet name="ON-P Fixed Inputs" sheetId="16" r:id="rId1"/>
    <sheet name="Flexible Service Valuation Mech" sheetId="1" r:id="rId2"/>
    <sheet name="2.1 Traditional NPV" sheetId="2" r:id="rId3"/>
    <sheet name="2.2 Network Losses" sheetId="3" r:id="rId4"/>
    <sheet name="2.3 Flexibility Service Admin" sheetId="5" r:id="rId5"/>
    <sheet name="3.1 Remaining Asset Life Value" sheetId="11" r:id="rId6"/>
    <sheet name="3.2 Asset Life Costs (NPV+)" sheetId="14" r:id="rId7"/>
    <sheet name="3.3 Net avoided outage costs" sheetId="19" r:id="rId8"/>
    <sheet name="4.1 Loss of Export Capacity" sheetId="17" r:id="rId9"/>
    <sheet name="4.2 Avoided Energy" sheetId="10" r:id="rId10"/>
    <sheet name="4.3 Community Generation Credit" sheetId="9" r:id="rId11"/>
    <sheet name="4.4 Net Avoided GHG" sheetId="4" r:id="rId12"/>
    <sheet name="5.1 Operating assets beyond cap" sheetId="18" r:id="rId13"/>
  </sheets>
  <externalReferences>
    <externalReference r:id="rId14"/>
  </externalReferences>
  <definedNames>
    <definedName name="Current_year">'[1]Reinforcement Deferral'!$D$10</definedName>
    <definedName name="Deferral_years">'[1]Summary CBA'!$D$6</definedName>
    <definedName name="Delta_NPV_output">'[1]Benefit at Ex-Ante Flex Price'!#REF!</definedName>
    <definedName name="Flex_purpose">'[1]Flexibility Requirements'!$C$8</definedName>
    <definedName name="HI_cutoff_date">'[1]Reinforcement Deferral'!$D$15</definedName>
    <definedName name="Intervene_by">'[1]Reinforcement Deferral'!$D$14</definedName>
    <definedName name="NPV_Baseline">#REF!</definedName>
    <definedName name="Overprocurement_factor">'[1]Flexibility Requirements'!$D$38</definedName>
    <definedName name="Ref_cal_year">'[1]Reinforcement Deferral'!$D$9</definedName>
    <definedName name="Ref_year">'[1]Reinforcement Deferral'!$D$8</definedName>
    <definedName name="Reinforcement_duration_years">'[1]Reinforcement Deferral'!#REF!</definedName>
    <definedName name="RiskIsOutput" hidden="1">FALSE</definedName>
    <definedName name="Scn1_name">'[1]Flexibility Requirements'!$C$11</definedName>
    <definedName name="Scn2_name">'[1]Flexibility Requirements'!$C$12</definedName>
    <definedName name="Scn3_name">'[1]Flexibility Requirements'!$C$13</definedName>
    <definedName name="Scn4_name">'[1]Flexibility Requirements'!$C$14</definedName>
    <definedName name="Scn5_name">'[1]Flexibility Requirements'!$C$15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 i="18" l="1"/>
  <c r="P18" i="18"/>
  <c r="I19" i="18"/>
  <c r="I18" i="18"/>
  <c r="C19" i="18"/>
  <c r="C18" i="18"/>
  <c r="P19" i="19"/>
  <c r="P18" i="19"/>
  <c r="I19" i="19"/>
  <c r="I18" i="19"/>
  <c r="C19" i="19"/>
  <c r="C18" i="19"/>
  <c r="P45" i="19" l="1"/>
  <c r="I45" i="19"/>
  <c r="C45" i="19"/>
  <c r="P44" i="19"/>
  <c r="I44" i="19"/>
  <c r="C44" i="19"/>
  <c r="P43" i="19"/>
  <c r="I43" i="19"/>
  <c r="C43" i="19"/>
  <c r="P42" i="19"/>
  <c r="I42" i="19"/>
  <c r="C42" i="19"/>
  <c r="P41" i="19"/>
  <c r="I41" i="19"/>
  <c r="C41" i="19"/>
  <c r="P40" i="19"/>
  <c r="I40" i="19"/>
  <c r="C40" i="19"/>
  <c r="P39" i="19"/>
  <c r="I39" i="19"/>
  <c r="C39" i="19"/>
  <c r="P38" i="19"/>
  <c r="I38" i="19"/>
  <c r="C38" i="19"/>
  <c r="P37" i="19"/>
  <c r="I37" i="19"/>
  <c r="C37" i="19"/>
  <c r="P36" i="19"/>
  <c r="I36" i="19"/>
  <c r="C36" i="19"/>
  <c r="P35" i="19"/>
  <c r="R35" i="19" s="1"/>
  <c r="I35" i="19"/>
  <c r="K35" i="19" s="1"/>
  <c r="C35" i="19"/>
  <c r="E35" i="19" s="1"/>
  <c r="P34" i="19"/>
  <c r="R34" i="19" s="1"/>
  <c r="I34" i="19"/>
  <c r="K34" i="19" s="1"/>
  <c r="C34" i="19"/>
  <c r="E34" i="19" s="1"/>
  <c r="P33" i="19"/>
  <c r="R33" i="19" s="1"/>
  <c r="I33" i="19"/>
  <c r="K33" i="19" s="1"/>
  <c r="C33" i="19"/>
  <c r="E33" i="19" s="1"/>
  <c r="P32" i="19"/>
  <c r="R32" i="19" s="1"/>
  <c r="I32" i="19"/>
  <c r="K32" i="19" s="1"/>
  <c r="C32" i="19"/>
  <c r="E32" i="19" s="1"/>
  <c r="P31" i="19"/>
  <c r="R31" i="19" s="1"/>
  <c r="I31" i="19"/>
  <c r="K31" i="19" s="1"/>
  <c r="C31" i="19"/>
  <c r="E31" i="19" s="1"/>
  <c r="P30" i="19"/>
  <c r="R30" i="19" s="1"/>
  <c r="I30" i="19"/>
  <c r="K30" i="19" s="1"/>
  <c r="C30" i="19"/>
  <c r="E30" i="19" s="1"/>
  <c r="P29" i="19"/>
  <c r="R29" i="19" s="1"/>
  <c r="I29" i="19"/>
  <c r="K29" i="19" s="1"/>
  <c r="C29" i="19"/>
  <c r="E29" i="19" s="1"/>
  <c r="P28" i="19"/>
  <c r="R28" i="19" s="1"/>
  <c r="I28" i="19"/>
  <c r="K28" i="19" s="1"/>
  <c r="C28" i="19"/>
  <c r="E28" i="19" s="1"/>
  <c r="P27" i="19"/>
  <c r="R27" i="19" s="1"/>
  <c r="I27" i="19"/>
  <c r="K27" i="19" s="1"/>
  <c r="C27" i="19"/>
  <c r="E27" i="19" s="1"/>
  <c r="Q14" i="19"/>
  <c r="P14" i="19"/>
  <c r="J14" i="19"/>
  <c r="I14" i="19"/>
  <c r="D14" i="19"/>
  <c r="C14" i="19"/>
  <c r="O5" i="19"/>
  <c r="O6" i="19" s="1"/>
  <c r="O7" i="19" s="1"/>
  <c r="O8" i="19" s="1"/>
  <c r="O9" i="19" s="1"/>
  <c r="O10" i="19" s="1"/>
  <c r="O11" i="19" s="1"/>
  <c r="O12" i="19" s="1"/>
  <c r="O13" i="19" s="1"/>
  <c r="H5" i="19"/>
  <c r="H6" i="19" s="1"/>
  <c r="H7" i="19" s="1"/>
  <c r="H8" i="19" s="1"/>
  <c r="H9" i="19" s="1"/>
  <c r="H10" i="19" s="1"/>
  <c r="H11" i="19" s="1"/>
  <c r="H12" i="19" s="1"/>
  <c r="H13" i="19" s="1"/>
  <c r="B5" i="19"/>
  <c r="B6" i="19" s="1"/>
  <c r="B7" i="19" s="1"/>
  <c r="B8" i="19" s="1"/>
  <c r="B9" i="19" s="1"/>
  <c r="B10" i="19" s="1"/>
  <c r="B11" i="19" s="1"/>
  <c r="B12" i="19" s="1"/>
  <c r="B13" i="19" s="1"/>
  <c r="P45" i="18"/>
  <c r="R45" i="18" s="1"/>
  <c r="I45" i="18"/>
  <c r="K45" i="18" s="1"/>
  <c r="C45" i="18"/>
  <c r="E45" i="18" s="1"/>
  <c r="P44" i="18"/>
  <c r="R44" i="18" s="1"/>
  <c r="I44" i="18"/>
  <c r="K44" i="18" s="1"/>
  <c r="C44" i="18"/>
  <c r="E44" i="18" s="1"/>
  <c r="P43" i="18"/>
  <c r="R43" i="18" s="1"/>
  <c r="I43" i="18"/>
  <c r="K43" i="18" s="1"/>
  <c r="C43" i="18"/>
  <c r="E43" i="18" s="1"/>
  <c r="P42" i="18"/>
  <c r="R42" i="18" s="1"/>
  <c r="I42" i="18"/>
  <c r="K42" i="18" s="1"/>
  <c r="C42" i="18"/>
  <c r="E42" i="18" s="1"/>
  <c r="P41" i="18"/>
  <c r="R41" i="18" s="1"/>
  <c r="I41" i="18"/>
  <c r="K41" i="18" s="1"/>
  <c r="C41" i="18"/>
  <c r="E41" i="18" s="1"/>
  <c r="P40" i="18"/>
  <c r="R40" i="18" s="1"/>
  <c r="I40" i="18"/>
  <c r="K40" i="18" s="1"/>
  <c r="C40" i="18"/>
  <c r="E40" i="18" s="1"/>
  <c r="P39" i="18"/>
  <c r="R39" i="18" s="1"/>
  <c r="I39" i="18"/>
  <c r="K39" i="18" s="1"/>
  <c r="C39" i="18"/>
  <c r="E39" i="18" s="1"/>
  <c r="P38" i="18"/>
  <c r="R38" i="18" s="1"/>
  <c r="I38" i="18"/>
  <c r="K38" i="18" s="1"/>
  <c r="C38" i="18"/>
  <c r="E38" i="18" s="1"/>
  <c r="P37" i="18"/>
  <c r="R37" i="18" s="1"/>
  <c r="I37" i="18"/>
  <c r="K37" i="18" s="1"/>
  <c r="C37" i="18"/>
  <c r="E37" i="18" s="1"/>
  <c r="P36" i="18"/>
  <c r="R36" i="18" s="1"/>
  <c r="I36" i="18"/>
  <c r="K36" i="18" s="1"/>
  <c r="C36" i="18"/>
  <c r="E36" i="18" s="1"/>
  <c r="P35" i="18"/>
  <c r="R35" i="18" s="1"/>
  <c r="I35" i="18"/>
  <c r="K35" i="18" s="1"/>
  <c r="C35" i="18"/>
  <c r="E35" i="18" s="1"/>
  <c r="P34" i="18"/>
  <c r="R34" i="18" s="1"/>
  <c r="I34" i="18"/>
  <c r="K34" i="18" s="1"/>
  <c r="C34" i="18"/>
  <c r="E34" i="18" s="1"/>
  <c r="P33" i="18"/>
  <c r="R33" i="18" s="1"/>
  <c r="I33" i="18"/>
  <c r="K33" i="18" s="1"/>
  <c r="C33" i="18"/>
  <c r="E33" i="18" s="1"/>
  <c r="P32" i="18"/>
  <c r="R32" i="18" s="1"/>
  <c r="I32" i="18"/>
  <c r="K32" i="18" s="1"/>
  <c r="C32" i="18"/>
  <c r="E32" i="18" s="1"/>
  <c r="P31" i="18"/>
  <c r="R31" i="18" s="1"/>
  <c r="I31" i="18"/>
  <c r="K31" i="18" s="1"/>
  <c r="C31" i="18"/>
  <c r="E31" i="18" s="1"/>
  <c r="P30" i="18"/>
  <c r="R30" i="18" s="1"/>
  <c r="I30" i="18"/>
  <c r="K30" i="18" s="1"/>
  <c r="C30" i="18"/>
  <c r="E30" i="18" s="1"/>
  <c r="P29" i="18"/>
  <c r="R29" i="18" s="1"/>
  <c r="I29" i="18"/>
  <c r="K29" i="18" s="1"/>
  <c r="C29" i="18"/>
  <c r="E29" i="18" s="1"/>
  <c r="P28" i="18"/>
  <c r="R28" i="18" s="1"/>
  <c r="I28" i="18"/>
  <c r="K28" i="18" s="1"/>
  <c r="C28" i="18"/>
  <c r="E28" i="18" s="1"/>
  <c r="P27" i="18"/>
  <c r="R27" i="18" s="1"/>
  <c r="I27" i="18"/>
  <c r="K27" i="18" s="1"/>
  <c r="C27" i="18"/>
  <c r="E27" i="18" s="1"/>
  <c r="Q14" i="18"/>
  <c r="P14" i="18"/>
  <c r="J14" i="18"/>
  <c r="I14" i="18"/>
  <c r="D14" i="18"/>
  <c r="C14" i="18"/>
  <c r="O5" i="18"/>
  <c r="O6" i="18" s="1"/>
  <c r="O7" i="18" s="1"/>
  <c r="O8" i="18" s="1"/>
  <c r="O9" i="18" s="1"/>
  <c r="O10" i="18" s="1"/>
  <c r="O11" i="18" s="1"/>
  <c r="O12" i="18" s="1"/>
  <c r="O13" i="18" s="1"/>
  <c r="H5" i="18"/>
  <c r="H6" i="18" s="1"/>
  <c r="H7" i="18" s="1"/>
  <c r="H8" i="18" s="1"/>
  <c r="H9" i="18" s="1"/>
  <c r="H10" i="18" s="1"/>
  <c r="H11" i="18" s="1"/>
  <c r="H12" i="18" s="1"/>
  <c r="H13" i="18" s="1"/>
  <c r="B5" i="18"/>
  <c r="B6" i="18" s="1"/>
  <c r="B7" i="18" s="1"/>
  <c r="B8" i="18" s="1"/>
  <c r="B9" i="18" s="1"/>
  <c r="B10" i="18" s="1"/>
  <c r="B11" i="18" s="1"/>
  <c r="B12" i="18" s="1"/>
  <c r="B13" i="18" s="1"/>
  <c r="Q36" i="19" l="1"/>
  <c r="R36" i="19"/>
  <c r="D38" i="19"/>
  <c r="E38" i="19"/>
  <c r="J39" i="19"/>
  <c r="K39" i="19"/>
  <c r="R40" i="19"/>
  <c r="Q40" i="19"/>
  <c r="S40" i="19" s="1"/>
  <c r="D42" i="19"/>
  <c r="E42" i="19"/>
  <c r="J43" i="19"/>
  <c r="K43" i="19"/>
  <c r="R44" i="19"/>
  <c r="Q44" i="19"/>
  <c r="S44" i="19" s="1"/>
  <c r="D27" i="19"/>
  <c r="F27" i="19" s="1"/>
  <c r="Q27" i="19"/>
  <c r="S27" i="19" s="1"/>
  <c r="J28" i="19"/>
  <c r="L28" i="19" s="1"/>
  <c r="D29" i="19"/>
  <c r="F29" i="19" s="1"/>
  <c r="Q29" i="19"/>
  <c r="S29" i="19" s="1"/>
  <c r="J30" i="19"/>
  <c r="L30" i="19" s="1"/>
  <c r="D31" i="19"/>
  <c r="F31" i="19" s="1"/>
  <c r="Q31" i="19"/>
  <c r="S31" i="19" s="1"/>
  <c r="J32" i="19"/>
  <c r="L32" i="19" s="1"/>
  <c r="D33" i="19"/>
  <c r="F33" i="19" s="1"/>
  <c r="Q33" i="19"/>
  <c r="S33" i="19" s="1"/>
  <c r="J34" i="19"/>
  <c r="L34" i="19" s="1"/>
  <c r="D35" i="19"/>
  <c r="F35" i="19" s="1"/>
  <c r="Q35" i="19"/>
  <c r="S35" i="19" s="1"/>
  <c r="E37" i="19"/>
  <c r="D37" i="19"/>
  <c r="F37" i="19" s="1"/>
  <c r="K38" i="19"/>
  <c r="J38" i="19"/>
  <c r="L38" i="19" s="1"/>
  <c r="Q39" i="19"/>
  <c r="R39" i="19"/>
  <c r="D41" i="19"/>
  <c r="E41" i="19"/>
  <c r="K42" i="19"/>
  <c r="J42" i="19"/>
  <c r="L42" i="19" s="1"/>
  <c r="R43" i="19"/>
  <c r="Q43" i="19"/>
  <c r="S43" i="19" s="1"/>
  <c r="D45" i="19"/>
  <c r="E45" i="19"/>
  <c r="E36" i="19"/>
  <c r="D36" i="19"/>
  <c r="F36" i="19" s="1"/>
  <c r="J37" i="19"/>
  <c r="K37" i="19"/>
  <c r="Q38" i="19"/>
  <c r="R38" i="19"/>
  <c r="E40" i="19"/>
  <c r="D40" i="19"/>
  <c r="F40" i="19" s="1"/>
  <c r="K41" i="19"/>
  <c r="J41" i="19"/>
  <c r="L41" i="19" s="1"/>
  <c r="Q42" i="19"/>
  <c r="R42" i="19"/>
  <c r="E44" i="19"/>
  <c r="D44" i="19"/>
  <c r="F44" i="19" s="1"/>
  <c r="K45" i="19"/>
  <c r="J45" i="19"/>
  <c r="L45" i="19" s="1"/>
  <c r="J27" i="19"/>
  <c r="L27" i="19" s="1"/>
  <c r="D28" i="19"/>
  <c r="F28" i="19" s="1"/>
  <c r="Q28" i="19"/>
  <c r="S28" i="19" s="1"/>
  <c r="J29" i="19"/>
  <c r="L29" i="19" s="1"/>
  <c r="D30" i="19"/>
  <c r="F30" i="19" s="1"/>
  <c r="Q30" i="19"/>
  <c r="S30" i="19" s="1"/>
  <c r="J31" i="19"/>
  <c r="L31" i="19" s="1"/>
  <c r="D32" i="19"/>
  <c r="F32" i="19" s="1"/>
  <c r="Q32" i="19"/>
  <c r="S32" i="19" s="1"/>
  <c r="J33" i="19"/>
  <c r="L33" i="19" s="1"/>
  <c r="D34" i="19"/>
  <c r="F34" i="19" s="1"/>
  <c r="Q34" i="19"/>
  <c r="S34" i="19" s="1"/>
  <c r="J35" i="19"/>
  <c r="L35" i="19" s="1"/>
  <c r="J36" i="19"/>
  <c r="K36" i="19"/>
  <c r="R37" i="19"/>
  <c r="Q37" i="19"/>
  <c r="E39" i="19"/>
  <c r="D39" i="19"/>
  <c r="J40" i="19"/>
  <c r="K40" i="19"/>
  <c r="R41" i="19"/>
  <c r="Q41" i="19"/>
  <c r="E43" i="19"/>
  <c r="D43" i="19"/>
  <c r="J44" i="19"/>
  <c r="K44" i="19"/>
  <c r="Q45" i="19"/>
  <c r="R45" i="19"/>
  <c r="D27" i="18"/>
  <c r="F27" i="18" s="1"/>
  <c r="J27" i="18"/>
  <c r="L27" i="18" s="1"/>
  <c r="Q27" i="18"/>
  <c r="S27" i="18" s="1"/>
  <c r="D28" i="18"/>
  <c r="F28" i="18" s="1"/>
  <c r="J28" i="18"/>
  <c r="L28" i="18" s="1"/>
  <c r="Q28" i="18"/>
  <c r="S28" i="18" s="1"/>
  <c r="D29" i="18"/>
  <c r="F29" i="18" s="1"/>
  <c r="J29" i="18"/>
  <c r="L29" i="18" s="1"/>
  <c r="Q29" i="18"/>
  <c r="S29" i="18" s="1"/>
  <c r="D30" i="18"/>
  <c r="F30" i="18" s="1"/>
  <c r="J30" i="18"/>
  <c r="L30" i="18" s="1"/>
  <c r="Q30" i="18"/>
  <c r="S30" i="18" s="1"/>
  <c r="D31" i="18"/>
  <c r="F31" i="18" s="1"/>
  <c r="J31" i="18"/>
  <c r="L31" i="18" s="1"/>
  <c r="Q31" i="18"/>
  <c r="S31" i="18" s="1"/>
  <c r="D32" i="18"/>
  <c r="F32" i="18" s="1"/>
  <c r="J32" i="18"/>
  <c r="L32" i="18" s="1"/>
  <c r="Q32" i="18"/>
  <c r="S32" i="18" s="1"/>
  <c r="D33" i="18"/>
  <c r="F33" i="18" s="1"/>
  <c r="J33" i="18"/>
  <c r="L33" i="18" s="1"/>
  <c r="Q33" i="18"/>
  <c r="S33" i="18" s="1"/>
  <c r="D34" i="18"/>
  <c r="F34" i="18" s="1"/>
  <c r="J34" i="18"/>
  <c r="L34" i="18" s="1"/>
  <c r="Q34" i="18"/>
  <c r="S34" i="18" s="1"/>
  <c r="D35" i="18"/>
  <c r="F35" i="18" s="1"/>
  <c r="J35" i="18"/>
  <c r="L35" i="18" s="1"/>
  <c r="Q35" i="18"/>
  <c r="S35" i="18" s="1"/>
  <c r="D36" i="18"/>
  <c r="F36" i="18" s="1"/>
  <c r="J36" i="18"/>
  <c r="L36" i="18" s="1"/>
  <c r="Q36" i="18"/>
  <c r="S36" i="18" s="1"/>
  <c r="D37" i="18"/>
  <c r="F37" i="18" s="1"/>
  <c r="J37" i="18"/>
  <c r="L37" i="18" s="1"/>
  <c r="Q37" i="18"/>
  <c r="S37" i="18" s="1"/>
  <c r="D38" i="18"/>
  <c r="F38" i="18" s="1"/>
  <c r="J38" i="18"/>
  <c r="L38" i="18" s="1"/>
  <c r="Q38" i="18"/>
  <c r="S38" i="18" s="1"/>
  <c r="D39" i="18"/>
  <c r="F39" i="18" s="1"/>
  <c r="J39" i="18"/>
  <c r="L39" i="18" s="1"/>
  <c r="Q39" i="18"/>
  <c r="S39" i="18" s="1"/>
  <c r="D40" i="18"/>
  <c r="F40" i="18" s="1"/>
  <c r="J40" i="18"/>
  <c r="L40" i="18" s="1"/>
  <c r="Q40" i="18"/>
  <c r="S40" i="18" s="1"/>
  <c r="D41" i="18"/>
  <c r="F41" i="18" s="1"/>
  <c r="J41" i="18"/>
  <c r="L41" i="18" s="1"/>
  <c r="Q41" i="18"/>
  <c r="S41" i="18" s="1"/>
  <c r="D42" i="18"/>
  <c r="F42" i="18" s="1"/>
  <c r="J42" i="18"/>
  <c r="L42" i="18" s="1"/>
  <c r="Q42" i="18"/>
  <c r="S42" i="18" s="1"/>
  <c r="D43" i="18"/>
  <c r="F43" i="18" s="1"/>
  <c r="J43" i="18"/>
  <c r="L43" i="18" s="1"/>
  <c r="Q43" i="18"/>
  <c r="S43" i="18" s="1"/>
  <c r="D44" i="18"/>
  <c r="F44" i="18" s="1"/>
  <c r="J44" i="18"/>
  <c r="L44" i="18" s="1"/>
  <c r="Q44" i="18"/>
  <c r="S44" i="18" s="1"/>
  <c r="D45" i="18"/>
  <c r="F45" i="18" s="1"/>
  <c r="J45" i="18"/>
  <c r="L45" i="18" s="1"/>
  <c r="Q45" i="18"/>
  <c r="S45" i="18" s="1"/>
  <c r="L44" i="19" l="1"/>
  <c r="L36" i="19"/>
  <c r="F43" i="19"/>
  <c r="S37" i="19"/>
  <c r="S45" i="19"/>
  <c r="L40" i="19"/>
  <c r="S38" i="19"/>
  <c r="F41" i="19"/>
  <c r="L43" i="19"/>
  <c r="F38" i="19"/>
  <c r="S41" i="19"/>
  <c r="F39" i="19"/>
  <c r="S42" i="19"/>
  <c r="L37" i="19"/>
  <c r="F45" i="19"/>
  <c r="S39" i="19"/>
  <c r="F42" i="19"/>
  <c r="L39" i="19"/>
  <c r="S36" i="19"/>
  <c r="C26" i="4"/>
  <c r="C25" i="4"/>
  <c r="A2" i="3" l="1"/>
  <c r="F11" i="11" l="1"/>
  <c r="J18" i="11" s="1"/>
  <c r="E11" i="11"/>
  <c r="J17" i="11" s="1"/>
  <c r="D11" i="11"/>
  <c r="C11" i="11"/>
  <c r="B11" i="11"/>
  <c r="D14" i="11" s="1"/>
  <c r="G16" i="11" l="1"/>
  <c r="F16" i="11"/>
  <c r="J16" i="11"/>
  <c r="C14" i="11"/>
  <c r="E14" i="11"/>
  <c r="G18" i="11"/>
  <c r="H18" i="11" s="1"/>
  <c r="G14" i="11"/>
  <c r="F15" i="11"/>
  <c r="J15" i="11"/>
  <c r="G17" i="11"/>
  <c r="F14" i="11"/>
  <c r="J14" i="11"/>
  <c r="G15" i="11"/>
  <c r="E16" i="11"/>
  <c r="H16" i="11" s="1"/>
  <c r="I16" i="11" s="1"/>
  <c r="D15" i="11"/>
  <c r="E15" i="11"/>
  <c r="F17" i="11"/>
  <c r="H17" i="11" l="1"/>
  <c r="I17" i="11" s="1"/>
  <c r="H14" i="11"/>
  <c r="I14" i="11" s="1"/>
  <c r="I18" i="11"/>
  <c r="H15" i="11"/>
  <c r="I15" i="11" s="1"/>
  <c r="E107" i="16" l="1"/>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G79" i="16"/>
  <c r="G78" i="16"/>
  <c r="G77" i="16"/>
  <c r="J76" i="16"/>
  <c r="J77" i="16" s="1"/>
  <c r="J78" i="16" s="1"/>
  <c r="J79" i="16" s="1"/>
  <c r="J80" i="16" s="1"/>
  <c r="J81" i="16" s="1"/>
  <c r="J82" i="16" s="1"/>
  <c r="J83" i="16" s="1"/>
  <c r="J84" i="16" s="1"/>
  <c r="J85" i="16" s="1"/>
  <c r="J86" i="16" s="1"/>
  <c r="J87" i="16" s="1"/>
  <c r="J88" i="16" s="1"/>
  <c r="J89" i="16" s="1"/>
  <c r="J90" i="16" s="1"/>
  <c r="J91" i="16" s="1"/>
  <c r="J92" i="16" s="1"/>
  <c r="J93" i="16" s="1"/>
  <c r="J94" i="16" s="1"/>
  <c r="J95" i="16" s="1"/>
  <c r="J96" i="16" s="1"/>
  <c r="J97" i="16" s="1"/>
  <c r="J98" i="16" s="1"/>
  <c r="J99" i="16" s="1"/>
  <c r="J100" i="16" s="1"/>
  <c r="J101" i="16" s="1"/>
  <c r="J102" i="16" s="1"/>
  <c r="J103" i="16" s="1"/>
  <c r="J104" i="16" s="1"/>
  <c r="J105" i="16" s="1"/>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K38" i="16"/>
  <c r="M38" i="16" s="1"/>
  <c r="F38" i="16" s="1"/>
  <c r="B8" i="4" s="1"/>
  <c r="G38" i="16"/>
  <c r="M37" i="16"/>
  <c r="G37" i="16"/>
  <c r="F37" i="16"/>
  <c r="M36" i="16"/>
  <c r="G36" i="16"/>
  <c r="F36" i="16"/>
  <c r="M35" i="16"/>
  <c r="F35" i="16" s="1"/>
  <c r="G35" i="16"/>
  <c r="M34" i="16"/>
  <c r="E34" i="16"/>
  <c r="F34" i="16" s="1"/>
  <c r="D34" i="16"/>
  <c r="G34" i="16" s="1"/>
  <c r="M33" i="16"/>
  <c r="E33" i="16"/>
  <c r="F33" i="16" s="1"/>
  <c r="D33" i="16"/>
  <c r="G33" i="16" s="1"/>
  <c r="M32" i="16"/>
  <c r="E32" i="16"/>
  <c r="F32" i="16" s="1"/>
  <c r="D32" i="16"/>
  <c r="G32" i="16" s="1"/>
  <c r="M31" i="16"/>
  <c r="E31" i="16"/>
  <c r="F31" i="16" s="1"/>
  <c r="D31" i="16"/>
  <c r="G31" i="16" s="1"/>
  <c r="M30" i="16"/>
  <c r="E30" i="16"/>
  <c r="F30" i="16" s="1"/>
  <c r="D30" i="16"/>
  <c r="G30" i="16" s="1"/>
  <c r="M29" i="16"/>
  <c r="E29" i="16"/>
  <c r="F29" i="16" s="1"/>
  <c r="D29" i="16"/>
  <c r="G29" i="16" s="1"/>
  <c r="M28" i="16"/>
  <c r="D28" i="16"/>
  <c r="M27" i="16"/>
  <c r="M26" i="16"/>
  <c r="M25" i="16"/>
  <c r="M24" i="16"/>
  <c r="M23" i="16"/>
  <c r="M22" i="16"/>
  <c r="K14" i="16"/>
  <c r="K13" i="16"/>
  <c r="K39" i="16" l="1"/>
  <c r="K40" i="16" l="1"/>
  <c r="M39" i="16"/>
  <c r="F39" i="16" s="1"/>
  <c r="B12" i="14"/>
  <c r="B11" i="14"/>
  <c r="AP8" i="14"/>
  <c r="AO8" i="14"/>
  <c r="AN8" i="14"/>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E8" i="14"/>
  <c r="D8" i="14"/>
  <c r="C8" i="14"/>
  <c r="B8" i="14"/>
  <c r="B11" i="4"/>
  <c r="B7" i="9"/>
  <c r="B7" i="10"/>
  <c r="B8" i="10" s="1"/>
  <c r="B11" i="3"/>
  <c r="B4" i="5"/>
  <c r="B6" i="5" s="1"/>
  <c r="B3" i="5"/>
  <c r="B34" i="2"/>
  <c r="F7" i="2"/>
  <c r="I7" i="2"/>
  <c r="B12" i="2"/>
  <c r="C8" i="2"/>
  <c r="D8" i="2"/>
  <c r="E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B11" i="2"/>
  <c r="B8" i="2"/>
  <c r="H7" i="2"/>
  <c r="G7" i="2"/>
  <c r="I8" i="2"/>
  <c r="H8" i="2"/>
  <c r="G8" i="2"/>
  <c r="F8" i="2"/>
  <c r="B13" i="2"/>
  <c r="B14" i="2"/>
  <c r="B19" i="2"/>
  <c r="B30" i="2"/>
  <c r="B20" i="2"/>
  <c r="B31" i="2"/>
  <c r="M40" i="16" l="1"/>
  <c r="F40" i="16" s="1"/>
  <c r="K41" i="16"/>
  <c r="B11" i="5"/>
  <c r="B34" i="14"/>
  <c r="M41" i="16" l="1"/>
  <c r="F41" i="16" s="1"/>
  <c r="K42" i="16"/>
  <c r="H7" i="14"/>
  <c r="H8" i="14" s="1"/>
  <c r="I7" i="14"/>
  <c r="I8" i="14" s="1"/>
  <c r="F7" i="14"/>
  <c r="F8" i="14" s="1"/>
  <c r="G7" i="14"/>
  <c r="G8" i="14" s="1"/>
  <c r="M42" i="16" l="1"/>
  <c r="F42" i="16" s="1"/>
  <c r="K43" i="16"/>
  <c r="B13" i="14"/>
  <c r="B14" i="14" s="1"/>
  <c r="M43" i="16" l="1"/>
  <c r="F43" i="16" s="1"/>
  <c r="K44" i="16"/>
  <c r="B19" i="14"/>
  <c r="B30" i="14" s="1"/>
  <c r="B20" i="14"/>
  <c r="B31" i="14" s="1"/>
  <c r="M44" i="16" l="1"/>
  <c r="F44" i="16" s="1"/>
  <c r="K45" i="16"/>
  <c r="M45" i="16" l="1"/>
  <c r="F45" i="16" s="1"/>
  <c r="K46" i="16"/>
  <c r="M46" i="16" l="1"/>
  <c r="F46" i="16" s="1"/>
  <c r="K47" i="16"/>
  <c r="M47" i="16" l="1"/>
  <c r="F47" i="16" s="1"/>
  <c r="K48" i="16"/>
  <c r="M48" i="16" l="1"/>
  <c r="F48" i="16" s="1"/>
  <c r="K49" i="16"/>
  <c r="M49" i="16" l="1"/>
  <c r="F49" i="16" s="1"/>
  <c r="K50" i="16"/>
  <c r="M50" i="16" l="1"/>
  <c r="F50" i="16" s="1"/>
  <c r="K51" i="16"/>
  <c r="M51" i="16" l="1"/>
  <c r="F51" i="16" s="1"/>
  <c r="K52" i="16"/>
  <c r="M52" i="16" l="1"/>
  <c r="F52" i="16" s="1"/>
  <c r="K53" i="16"/>
  <c r="M53" i="16" l="1"/>
  <c r="F53" i="16" s="1"/>
  <c r="K54" i="16"/>
  <c r="M54" i="16" l="1"/>
  <c r="F54" i="16" s="1"/>
  <c r="K55" i="16"/>
  <c r="M55" i="16" l="1"/>
  <c r="F55" i="16" s="1"/>
  <c r="K56" i="16"/>
  <c r="M56" i="16" l="1"/>
  <c r="F56" i="16" s="1"/>
  <c r="K57" i="16"/>
  <c r="M57" i="16" l="1"/>
  <c r="F57" i="16" s="1"/>
  <c r="K58" i="16"/>
  <c r="M58" i="16" l="1"/>
  <c r="F58" i="16" s="1"/>
  <c r="K59" i="16"/>
  <c r="M59" i="16" l="1"/>
  <c r="F59" i="16" s="1"/>
  <c r="K60" i="16"/>
  <c r="M60" i="16" l="1"/>
  <c r="F60" i="16" s="1"/>
  <c r="K61" i="16"/>
  <c r="M61" i="16" l="1"/>
  <c r="F61" i="16" s="1"/>
  <c r="K62" i="16"/>
  <c r="M62" i="16" l="1"/>
  <c r="F62" i="16" s="1"/>
  <c r="K63" i="16"/>
  <c r="M63" i="16" l="1"/>
  <c r="F63" i="16" s="1"/>
  <c r="K64" i="16"/>
  <c r="M64" i="16" l="1"/>
  <c r="F64" i="16" s="1"/>
  <c r="K65" i="16"/>
  <c r="M65" i="16" l="1"/>
  <c r="F65" i="16" s="1"/>
  <c r="K66" i="16"/>
  <c r="M66" i="16" l="1"/>
  <c r="F66" i="16" s="1"/>
  <c r="K67" i="16"/>
  <c r="M67" i="16" l="1"/>
  <c r="F67" i="16" s="1"/>
  <c r="K68" i="16"/>
  <c r="M68" i="16" l="1"/>
  <c r="F68" i="16" s="1"/>
  <c r="K69" i="16"/>
  <c r="M69" i="16" l="1"/>
  <c r="F69" i="16" s="1"/>
  <c r="K70" i="16"/>
  <c r="M70" i="16" l="1"/>
  <c r="F70" i="16" s="1"/>
  <c r="K71" i="16"/>
  <c r="M71" i="16" l="1"/>
  <c r="F71" i="16" s="1"/>
  <c r="K72" i="16"/>
  <c r="M72" i="16" l="1"/>
  <c r="F72" i="16" s="1"/>
  <c r="K73" i="16"/>
  <c r="M73" i="16" l="1"/>
  <c r="F73" i="16" s="1"/>
  <c r="K74" i="16"/>
  <c r="M74" i="16" l="1"/>
  <c r="F74" i="16" s="1"/>
  <c r="K75" i="16"/>
  <c r="K76" i="16" l="1"/>
  <c r="M75" i="16"/>
  <c r="F75" i="16" s="1"/>
  <c r="K77" i="16" l="1"/>
  <c r="M76" i="16"/>
  <c r="F76" i="16" s="1"/>
  <c r="M77" i="16" l="1"/>
  <c r="F77" i="16" s="1"/>
  <c r="K78" i="16"/>
  <c r="K79" i="16" l="1"/>
  <c r="M78" i="16"/>
  <c r="F78" i="16" s="1"/>
  <c r="K80" i="16" l="1"/>
  <c r="M79" i="16"/>
  <c r="F79" i="16" s="1"/>
  <c r="K81" i="16" l="1"/>
  <c r="M80" i="16"/>
  <c r="F80" i="16" s="1"/>
  <c r="K82" i="16" l="1"/>
  <c r="M81" i="16"/>
  <c r="F81" i="16" s="1"/>
  <c r="K83" i="16" l="1"/>
  <c r="M82" i="16"/>
  <c r="F82" i="16" s="1"/>
  <c r="K84" i="16" l="1"/>
  <c r="M83" i="16"/>
  <c r="F83" i="16" s="1"/>
  <c r="K85" i="16" l="1"/>
  <c r="M84" i="16"/>
  <c r="F84" i="16" s="1"/>
  <c r="K86" i="16" l="1"/>
  <c r="M85" i="16"/>
  <c r="F85" i="16" s="1"/>
  <c r="K87" i="16" l="1"/>
  <c r="M86" i="16"/>
  <c r="F86" i="16" s="1"/>
  <c r="K88" i="16" l="1"/>
  <c r="M87" i="16"/>
  <c r="F87" i="16" s="1"/>
  <c r="K89" i="16" l="1"/>
  <c r="M88" i="16"/>
  <c r="F88" i="16" s="1"/>
  <c r="K90" i="16" l="1"/>
  <c r="M89" i="16"/>
  <c r="F89" i="16" s="1"/>
  <c r="K91" i="16" l="1"/>
  <c r="M90" i="16"/>
  <c r="F90" i="16" s="1"/>
  <c r="K92" i="16" l="1"/>
  <c r="M91" i="16"/>
  <c r="F91" i="16" s="1"/>
  <c r="K93" i="16" l="1"/>
  <c r="M92" i="16"/>
  <c r="F92" i="16" s="1"/>
  <c r="K94" i="16" l="1"/>
  <c r="M93" i="16"/>
  <c r="F93" i="16" s="1"/>
  <c r="K95" i="16" l="1"/>
  <c r="M94" i="16"/>
  <c r="F94" i="16" s="1"/>
  <c r="K96" i="16" l="1"/>
  <c r="M95" i="16"/>
  <c r="F95" i="16" s="1"/>
  <c r="K97" i="16" l="1"/>
  <c r="M96" i="16"/>
  <c r="F96" i="16" s="1"/>
  <c r="M97" i="16" l="1"/>
  <c r="F97" i="16" s="1"/>
  <c r="K98" i="16"/>
  <c r="K99" i="16" l="1"/>
  <c r="M98" i="16"/>
  <c r="F98" i="16" s="1"/>
  <c r="K100" i="16" l="1"/>
  <c r="M99" i="16"/>
  <c r="F99" i="16" s="1"/>
  <c r="K101" i="16" l="1"/>
  <c r="M100" i="16"/>
  <c r="F100" i="16" s="1"/>
  <c r="M101" i="16" l="1"/>
  <c r="F101" i="16" s="1"/>
  <c r="K102" i="16"/>
  <c r="K103" i="16" l="1"/>
  <c r="M102" i="16"/>
  <c r="F102" i="16" s="1"/>
  <c r="K104" i="16" l="1"/>
  <c r="M103" i="16"/>
  <c r="F103" i="16" s="1"/>
  <c r="M104" i="16" l="1"/>
  <c r="F104" i="16" s="1"/>
  <c r="K105" i="16"/>
  <c r="M105" i="16" s="1"/>
</calcChain>
</file>

<file path=xl/sharedStrings.xml><?xml version="1.0" encoding="utf-8"?>
<sst xmlns="http://schemas.openxmlformats.org/spreadsheetml/2006/main" count="620" uniqueCount="352">
  <si>
    <t>Fixed Inputs</t>
  </si>
  <si>
    <t>GUIDANCE</t>
  </si>
  <si>
    <t xml:space="preserve"> - This tab contains all fixed parameters as per the Ofgem CBA template, and should be updated accordingly for RIIO ED2
 - The user should enter the Pre-tax WACC and CI and CML prices as per their business plan
 - The CPIH Index can be used to help the user convert all costs and benefits to the tool price base. The tool price base is currently set at 2018/19 prices. This should be updated once the price base year for RIIO ED2 is determined.</t>
  </si>
  <si>
    <t>Parameters</t>
  </si>
  <si>
    <t>Prices</t>
  </si>
  <si>
    <t>Capitalisation rates</t>
  </si>
  <si>
    <t xml:space="preserve"> </t>
  </si>
  <si>
    <t>Pre-tax WACC</t>
  </si>
  <si>
    <t>enter DNO specific pre-tax WACC figure</t>
  </si>
  <si>
    <t>Losses (£/MWh)</t>
  </si>
  <si>
    <t>BEIS Traded Carbon Price (Central)</t>
  </si>
  <si>
    <t xml:space="preserve">https://assets.publishing.service.gov.uk/government/uploads/system/uploads/attachment_data/file/671191/Updated_short-term_traded_carbon_values_for_modelling_purposes.pdf   </t>
  </si>
  <si>
    <t>Discount Rate &lt;= 30 years</t>
  </si>
  <si>
    <t>HMRC Green Book (see Discount Factors spreadsheet 'Standard Discount Factors' tab</t>
  </si>
  <si>
    <t>https://assets.publishing.service.gov.uk/government/uploads/system/uploads/attachment_data/file/685903/The_Green_Book.pdf</t>
  </si>
  <si>
    <t>Cost per litre oil (£/litre)</t>
  </si>
  <si>
    <t>Discount Rate &gt; 30 years</t>
  </si>
  <si>
    <t>https://assets.publishing.service.gov.uk/government/uploads/system/uploads/attachment_data/file/685912/Discount_Factors.xlsx</t>
  </si>
  <si>
    <t>CI (£s per interruption, 2012/13 prices)</t>
  </si>
  <si>
    <t>Discount rate for safety &lt;= 30 years</t>
  </si>
  <si>
    <t>HMRC Green Book (see Discount Factors spreadsheet 'Health Discount Factors' tab</t>
  </si>
  <si>
    <t>CML (£s per minute lost, 2012/13 prices)</t>
  </si>
  <si>
    <t xml:space="preserve">Discount rate for safety &gt; 30 years </t>
  </si>
  <si>
    <t>CI (£s per interruption, 2018/19 prices)</t>
  </si>
  <si>
    <t>Assumed Asset Life (Years)</t>
  </si>
  <si>
    <t>CML (£s per minute lost, 2018/19 prices)</t>
  </si>
  <si>
    <t>Cost per Fatality (£m)</t>
  </si>
  <si>
    <t>http://www.hse.gov.uk/economics/eauappraisal.htm</t>
  </si>
  <si>
    <t>Cost per Non Fatal injury (£m)</t>
  </si>
  <si>
    <t>http://www.hse.gov.uk/statistics/cost.htm</t>
  </si>
  <si>
    <r>
      <rPr>
        <b/>
        <sz val="10"/>
        <color theme="1"/>
        <rFont val="Verdana"/>
        <family val="2"/>
      </rPr>
      <t>Decarbonisation of electricity assumption:</t>
    </r>
    <r>
      <rPr>
        <sz val="11"/>
        <color theme="1"/>
        <rFont val="Calibri"/>
        <family val="2"/>
        <scheme val="minor"/>
      </rPr>
      <t xml:space="preserve">
Power sector emissions are anticipated to reduce to 10g/kWh by 2050. 
Assume a linear decarbonisation pathway from 2017/18 until 2050. 
Power sector emissions reduce by 11.35 g/kWh p.a. between now and 2030. 
Beyond 2050 keep emissions at 10g/kWh 
1,000 kg = 1 tonne; 1,000 kWh = 1 MWh; 1 kg = 1,000g</t>
    </r>
  </si>
  <si>
    <t>CPIH Index</t>
  </si>
  <si>
    <t>Calendar Year</t>
  </si>
  <si>
    <t>Average Index</t>
  </si>
  <si>
    <t>g CO2e per kWh
(Defra)</t>
  </si>
  <si>
    <t>Traded carbon price (£/t 2016/17)1</t>
  </si>
  <si>
    <t>Traded carbon price (£/t 2018/19 prices)</t>
  </si>
  <si>
    <t>Electricity GHG conversion factor (tonnes per MWh)3</t>
  </si>
  <si>
    <t>Regulatory Year</t>
  </si>
  <si>
    <t>Conversion from FY to 2018/19</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</si>
  <si>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</si>
  <si>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</si>
  <si>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</si>
  <si>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</si>
  <si>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</si>
  <si>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</si>
  <si>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</si>
  <si>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</si>
  <si>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</si>
  <si>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</si>
  <si>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</si>
  <si>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</si>
  <si>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</si>
  <si>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</si>
  <si>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</si>
  <si>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</si>
  <si>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</si>
  <si>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</si>
  <si>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</si>
  <si>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</si>
  <si>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</si>
  <si>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</si>
  <si>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</si>
  <si>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</si>
  <si>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</si>
  <si>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</si>
  <si>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</si>
  <si>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</si>
  <si>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</si>
  <si>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</si>
  <si>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</si>
  <si>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</si>
  <si>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</si>
  <si>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</si>
  <si>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</si>
  <si>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</si>
  <si>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</si>
  <si>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</si>
  <si>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</si>
  <si>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</si>
  <si>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</si>
  <si>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</si>
  <si>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</si>
  <si>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</si>
  <si>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</si>
  <si>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</si>
  <si>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</si>
  <si>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</si>
  <si>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</si>
  <si>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</si>
  <si>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</si>
  <si>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</si>
  <si>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</si>
  <si>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</si>
  <si>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p.a. reduction in carbon intensity</t>
  </si>
  <si>
    <r>
      <t xml:space="preserve">CPIH INDEX 00: ALL ITEMS 2015=100; </t>
    </r>
    <r>
      <rPr>
        <b/>
        <u/>
        <sz val="10"/>
        <color theme="1"/>
        <rFont val="Verdana"/>
        <family val="2"/>
      </rPr>
      <t>Identifier = L522</t>
    </r>
  </si>
  <si>
    <t>note: Values taken from Central scenario from Updated short-term carbon values used for modelling purposes (2017)</t>
  </si>
  <si>
    <t>https://www.ons.gov.uk/economy/inflationandpriceindices/timeseries/l522/mm23</t>
  </si>
  <si>
    <r>
      <rPr>
        <i/>
        <u/>
        <vertAlign val="superscript"/>
        <sz val="10"/>
        <color theme="10"/>
        <rFont val="Verdana"/>
        <family val="2"/>
      </rPr>
      <t>1</t>
    </r>
    <r>
      <rPr>
        <i/>
        <u/>
        <sz val="10"/>
        <color theme="10"/>
        <rFont val="Verdana"/>
        <family val="2"/>
      </rPr>
      <t xml:space="preserve">  https://www.gov.uk/carbon-valuation </t>
    </r>
  </si>
  <si>
    <t>https://www.ons.gov.uk/generator?format=xls&amp;uri=/economy/inflationandpriceindices/timeseries/l522/mm23</t>
  </si>
  <si>
    <t>Value Stream</t>
  </si>
  <si>
    <t>1.06 Section</t>
  </si>
  <si>
    <t>Valuation</t>
  </si>
  <si>
    <t xml:space="preserve">Reference Section in this report 1.07 </t>
  </si>
  <si>
    <t>Equation Type</t>
  </si>
  <si>
    <t>Equation</t>
  </si>
  <si>
    <t>Actions</t>
  </si>
  <si>
    <t>Closed?</t>
  </si>
  <si>
    <t>Proposed Short Term Flexible Service Valuation</t>
  </si>
  <si>
    <t>Traditional Reinforcement Net Present Value (NPV)</t>
  </si>
  <si>
    <t>3.B.II.Construction Projects</t>
  </si>
  <si>
    <t>Fixed Equation</t>
  </si>
  <si>
    <t>NPV = Construction Cost/(1+discount)^t</t>
  </si>
  <si>
    <t>Completed</t>
  </si>
  <si>
    <t>Yes</t>
  </si>
  <si>
    <t>Network Losses</t>
  </si>
  <si>
    <t xml:space="preserve"> = Calculated Losses * Cost of Losses</t>
  </si>
  <si>
    <t xml:space="preserve">Flexibility Service Administration and Management Costs </t>
  </si>
  <si>
    <t>3.A.X. Contract Information</t>
  </si>
  <si>
    <t xml:space="preserve"> = admin cost/year * simulation length</t>
  </si>
  <si>
    <t>Possible Future Flexible Service Valuation</t>
  </si>
  <si>
    <t>Remaining Asset Life Value</t>
  </si>
  <si>
    <t>3.D.IV. Remaining Value of Replaced Assets</t>
  </si>
  <si>
    <t>Equation Editor</t>
  </si>
  <si>
    <t>Remaining value of replaced asset = (1-(age/average asset lifespan)) * ( Total investment * Capitalisation rate)</t>
  </si>
  <si>
    <t>Asset Life Costs (NPV+)</t>
  </si>
  <si>
    <t>Modeled as part of this project</t>
  </si>
  <si>
    <t>NPV = (Construction Cost+life-time maintenance costs)/(1+discount)^t</t>
  </si>
  <si>
    <t>Net Avoided Outage Costs (Asset Health)</t>
  </si>
  <si>
    <t xml:space="preserve">3.A.II. Probability of asset failure </t>
  </si>
  <si>
    <t>F(f) = 1 - e~(t/(n+b((6-HI)-0.5)))^B</t>
  </si>
  <si>
    <t>Possible Future Plus Flexible Service Valuation</t>
  </si>
  <si>
    <t>Loss of Export Capacity</t>
  </si>
  <si>
    <t>3.D.II. Tracking Cost of Running the System</t>
  </si>
  <si>
    <t>Scenarios</t>
  </si>
  <si>
    <t>Run 2 scenarios, compare results of export capacity</t>
  </si>
  <si>
    <t>Avoided Energy</t>
  </si>
  <si>
    <t xml:space="preserve"> = Energy_traditional - Energy_Flex</t>
  </si>
  <si>
    <t>Community Generation Credit</t>
  </si>
  <si>
    <t xml:space="preserve">2.A.VIII. Societal Cost </t>
  </si>
  <si>
    <t xml:space="preserve"> = Community Generation Credit/year * Simulation Length</t>
  </si>
  <si>
    <t>Net Avoided Greenhouse Gasses (GHG)</t>
  </si>
  <si>
    <t xml:space="preserve">3.C.IX. CO2 Emissions </t>
  </si>
  <si>
    <t xml:space="preserve"> = (CO2_Bulk + CO2_DER)_Trad - (CO2_Bulk + CO2_DER)_Flex</t>
  </si>
  <si>
    <t>*Be careful of double counting</t>
  </si>
  <si>
    <t>Alternative Value Stream Option</t>
  </si>
  <si>
    <t xml:space="preserve">Operating Assets Beyond Capacity </t>
  </si>
  <si>
    <t xml:space="preserve">3.A.VI.Cost of rating violations </t>
  </si>
  <si>
    <t>Key</t>
  </si>
  <si>
    <t>Formula is set as shown</t>
  </si>
  <si>
    <t>User can modify the specific formula, but the variables in the equation are set</t>
  </si>
  <si>
    <t>Evaluated by running multiple scenarios and determining a cost from the difference in the scenario results</t>
  </si>
  <si>
    <t>Below no longer included</t>
  </si>
  <si>
    <t xml:space="preserve"> = Net Non-Energy Costs Value/year * Simulation Length</t>
  </si>
  <si>
    <t>Customer Interruption (CI) and Customer Minutes Lost (CML)</t>
  </si>
  <si>
    <t xml:space="preserve">3.A.II.Probability of asset failure </t>
  </si>
  <si>
    <t>Backup Generation Costs (Diesel generators as DER)</t>
  </si>
  <si>
    <t>Fault Likelihood/Outage Risk</t>
  </si>
  <si>
    <t>Asset Redeployment Value</t>
  </si>
  <si>
    <t xml:space="preserve">3.D.IV.Remaining Value of Replaced Assets </t>
  </si>
  <si>
    <t>Activity Labour Costs</t>
  </si>
  <si>
    <t>3.A.IX.Asset OPEX Cost</t>
  </si>
  <si>
    <t>Net Avoided Outage Costs</t>
  </si>
  <si>
    <t>Avoided Generation Capacity Cost</t>
  </si>
  <si>
    <t>Valuing Risk and Reward</t>
  </si>
  <si>
    <t>Location Multiplier</t>
  </si>
  <si>
    <t>Optionality</t>
  </si>
  <si>
    <t>Ancillary Service Cost</t>
  </si>
  <si>
    <t>Lost Utility Revenue</t>
  </si>
  <si>
    <t>Net Avoided Restoration Costs</t>
  </si>
  <si>
    <t>Avoided Distribution Capacity Infrastructure</t>
  </si>
  <si>
    <t>Wholesale Market Price Impacts</t>
  </si>
  <si>
    <t>Avoided Ancillary Services</t>
  </si>
  <si>
    <t>Avoided Transmission Losses</t>
  </si>
  <si>
    <t>Avoided Transmission Capacity Infrastructure and O&amp;M</t>
  </si>
  <si>
    <t>Net Avoided Air Pollutants</t>
  </si>
  <si>
    <t>Avoided Water Impacts</t>
  </si>
  <si>
    <t>Avoided Land Impacts</t>
  </si>
  <si>
    <t>Net Non-Energy Benefits</t>
  </si>
  <si>
    <t>Net Non-Energy Costs</t>
  </si>
  <si>
    <t>Cost of Traditional Solution</t>
  </si>
  <si>
    <t>Year</t>
  </si>
  <si>
    <t>Asset cost</t>
  </si>
  <si>
    <t>Deferred Asset Cost (deferment depends on load forecast)</t>
  </si>
  <si>
    <t>DER admin Cost</t>
  </si>
  <si>
    <t>Total Deferred Cost</t>
  </si>
  <si>
    <t>Interest Rate</t>
  </si>
  <si>
    <t>*Interest rate is variable in Grid OS IDP</t>
  </si>
  <si>
    <t>Asset NPV Cost</t>
  </si>
  <si>
    <t>Deferred Asset NPV Cost</t>
  </si>
  <si>
    <t>Total Deferred NPV Cost</t>
  </si>
  <si>
    <t>Deferrment Saving</t>
  </si>
  <si>
    <t>Availability Percentage</t>
  </si>
  <si>
    <t>Utilisation Percentage</t>
  </si>
  <si>
    <t>Max Availability Payment</t>
  </si>
  <si>
    <t>Max Utilisaiton Payment</t>
  </si>
  <si>
    <t>Number of availability hours required</t>
  </si>
  <si>
    <t>*Determined by Grid OS IDP model run</t>
  </si>
  <si>
    <t>Number of availability MW required</t>
  </si>
  <si>
    <t>Number of uilisation hours required</t>
  </si>
  <si>
    <t>Number of utilisation MW required</t>
  </si>
  <si>
    <t>Availability Price (£/MWhr)</t>
  </si>
  <si>
    <t>Utilisation Price (£/MWhr)</t>
  </si>
  <si>
    <t>Costs</t>
  </si>
  <si>
    <t>DER Admin Costs</t>
  </si>
  <si>
    <t>*Asset deferrment saving divided by 2.26 (Needs checking by flex solution team)</t>
  </si>
  <si>
    <t>CCCM Doc costs to be input here by Opus One</t>
  </si>
  <si>
    <t>Asset costs recorded in Asset Library of Grid OS IDP</t>
  </si>
  <si>
    <t>per MWhr</t>
  </si>
  <si>
    <t>Losses (MW)</t>
  </si>
  <si>
    <t>Calculated from simulation</t>
  </si>
  <si>
    <t>Cost of Losses</t>
  </si>
  <si>
    <t>Flexibility Service Administration and Management Costs (incurred by DNO)</t>
  </si>
  <si>
    <t>Total annual hours</t>
  </si>
  <si>
    <t>Total annual days</t>
  </si>
  <si>
    <t>SSEN day rate (including overheads) = £450</t>
  </si>
  <si>
    <t>Annual cost of flexible service admin to SSEN (per service)</t>
  </si>
  <si>
    <t>Length of simulation (years)</t>
  </si>
  <si>
    <t>Admin Cost</t>
  </si>
  <si>
    <t>Annual 3rd party charges (estimate)</t>
  </si>
  <si>
    <t>Average Asset lifespan (years)</t>
  </si>
  <si>
    <t>RIIO-ED1</t>
  </si>
  <si>
    <t>Total Investment (million)</t>
  </si>
  <si>
    <t>Capitalisation rate (%)</t>
  </si>
  <si>
    <t>Capitalised investment (million)</t>
  </si>
  <si>
    <t xml:space="preserve">Depreciation </t>
  </si>
  <si>
    <t>Total Depreciation</t>
  </si>
  <si>
    <t>Remaining Value</t>
  </si>
  <si>
    <t>Remaining Value(Opus One Formula)</t>
  </si>
  <si>
    <t>Total project cost will be = Total equipment cost + Total labor cost - Remaining value of replaced asset.</t>
  </si>
  <si>
    <r>
      <t>Remaining value of replaced asset = ((1 – (age/average asset lifespan)) (1 – (health/total health”5”)) * (Total investment *</t>
    </r>
    <r>
      <rPr>
        <sz val="11"/>
        <color rgb="FF000000"/>
        <rFont val="Calibri"/>
        <family val="2"/>
        <scheme val="minor"/>
      </rPr>
      <t xml:space="preserve"> Capitalisation rate)</t>
    </r>
    <r>
      <rPr>
        <sz val="11"/>
        <color theme="1"/>
        <rFont val="Calibri"/>
        <family val="2"/>
        <scheme val="minor"/>
      </rPr>
      <t>).</t>
    </r>
  </si>
  <si>
    <t>*Asset health removed, so this formula no longer in use.</t>
  </si>
  <si>
    <t>Ongoing Costs</t>
  </si>
  <si>
    <t>Typical Maintenance Period</t>
  </si>
  <si>
    <t>x</t>
  </si>
  <si>
    <t>hours</t>
  </si>
  <si>
    <t>Typical Number of Staff Required</t>
  </si>
  <si>
    <t>#</t>
  </si>
  <si>
    <t>Number of affected customers</t>
  </si>
  <si>
    <t>Planned outage length</t>
  </si>
  <si>
    <t>Number of maintenance events in life span</t>
  </si>
  <si>
    <t>Size of generation required</t>
  </si>
  <si>
    <t>MWhrs</t>
  </si>
  <si>
    <t>Maintenance Costs Labour</t>
  </si>
  <si>
    <t>Maintenance Costs CI CML</t>
  </si>
  <si>
    <t>Maintenance Costs Backup-Gen</t>
  </si>
  <si>
    <t>Total Maintenance Cost</t>
  </si>
  <si>
    <t>Diesel Generator Guidance</t>
  </si>
  <si>
    <t>Cost per customer</t>
  </si>
  <si>
    <t>Source</t>
  </si>
  <si>
    <t>&lt;10 Customers</t>
  </si>
  <si>
    <t>Live Line Harvester Mobile Generation Calculator</t>
  </si>
  <si>
    <t>&lt;50 Customers</t>
  </si>
  <si>
    <t>&lt;100 Customer</t>
  </si>
  <si>
    <t>&lt;150 Customers</t>
  </si>
  <si>
    <t>&gt;150 Customers</t>
  </si>
  <si>
    <t>Large Industrial Customers</t>
  </si>
  <si>
    <t>Variable</t>
  </si>
  <si>
    <t>This will need to be calculated on per customer basis or a new calculation created based on customer load/demand.</t>
  </si>
  <si>
    <t>% over threshold</t>
  </si>
  <si>
    <t>Duration(hours)</t>
  </si>
  <si>
    <t>Average</t>
  </si>
  <si>
    <t>Characteristic life</t>
  </si>
  <si>
    <t>η</t>
  </si>
  <si>
    <t>Asset 1</t>
  </si>
  <si>
    <t>Asset 2</t>
  </si>
  <si>
    <t>Asset 3</t>
  </si>
  <si>
    <t>Shape parameter</t>
  </si>
  <si>
    <t>β</t>
  </si>
  <si>
    <t>Number of Customers</t>
  </si>
  <si>
    <t>HI shift Factor</t>
  </si>
  <si>
    <t>b</t>
  </si>
  <si>
    <t>CML cost</t>
  </si>
  <si>
    <t>£</t>
  </si>
  <si>
    <t>Health Index</t>
  </si>
  <si>
    <t>HI</t>
  </si>
  <si>
    <t>CI cost</t>
  </si>
  <si>
    <t>Time to restore(mins)</t>
  </si>
  <si>
    <t>mins</t>
  </si>
  <si>
    <t>Age</t>
  </si>
  <si>
    <t>P.O.F</t>
  </si>
  <si>
    <t>CI</t>
  </si>
  <si>
    <t>CML</t>
  </si>
  <si>
    <t>CI CML Cost</t>
  </si>
  <si>
    <t>Avg. % over Threshold</t>
  </si>
  <si>
    <t>Shift factor</t>
  </si>
  <si>
    <t>0-2</t>
  </si>
  <si>
    <t>3-5</t>
  </si>
  <si>
    <t>6-8</t>
  </si>
  <si>
    <t>9+</t>
  </si>
  <si>
    <t>Energy required by the DSO traditionally (MW)</t>
  </si>
  <si>
    <t>Determined by system loading</t>
  </si>
  <si>
    <t>Energy required by the DSO from traditional and flexibility (MW)</t>
  </si>
  <si>
    <t>Determined by procured flexiblity and subsequent substation energy</t>
  </si>
  <si>
    <t>Energy Saved (MW)</t>
  </si>
  <si>
    <r>
      <t>Cost Saved (</t>
    </r>
    <r>
      <rPr>
        <sz val="11"/>
        <color theme="1"/>
        <rFont val="Calibri"/>
        <family val="2"/>
      </rPr>
      <t>£)</t>
    </r>
  </si>
  <si>
    <t>Cost of energy at the substation</t>
  </si>
  <si>
    <t>£50/MW assumption entered here</t>
  </si>
  <si>
    <r>
      <t>Community Generation Credit (</t>
    </r>
    <r>
      <rPr>
        <sz val="11"/>
        <color theme="1"/>
        <rFont val="Calibri"/>
        <family val="2"/>
      </rPr>
      <t>£/MWh-yr)</t>
    </r>
  </si>
  <si>
    <t>Simulation Length (yr)</t>
  </si>
  <si>
    <t>Cost (£)</t>
  </si>
  <si>
    <t>Cambridge's notes</t>
  </si>
  <si>
    <t xml:space="preserve">Community Generation Credit </t>
  </si>
  <si>
    <t xml:space="preserve">A value of 0.5p/kWh seems reasonable (see justification below). The thing we need to think is the way how this will be introduced in the CBA (i.e. set conditions, others). </t>
  </si>
  <si>
    <t>Community credit is what citizens are willing to pay for the 'community' aspect of an energy project, on top of the pure environmental aspects. </t>
  </si>
  <si>
    <t xml:space="preserve">A behavioural economics approach would suggest that the basic answer to any question of 'what would you be willing to pay for some societal benefit?' is around £10, as that is what might be given if someone asked you in the pub for a contribution to saving the whales, saving the pub etc. </t>
  </si>
  <si>
    <t>On that basis if a typical household participating in a community energy scheme generates 2000 kWh per year, that equates to 0.5p/kWh (i.e. 2000/1000).</t>
  </si>
  <si>
    <t xml:space="preserve">Actually we have some real evidence from CESP - the Community Energy Savings Programme which ran from 2009-2012. </t>
  </si>
  <si>
    <t xml:space="preserve">The CESP scheme supported community energy projects including district heating by paying towards carbon savings. </t>
  </si>
  <si>
    <t>It explicitly paid a community area bonus if at least 25% of a community was treated with an energy savings measure.</t>
  </si>
  <si>
    <t xml:space="preserve">The bonus rate was a carbon credit of x%/2 where x% was the percentage of the community treated. So at 50% treated the bonus rate was additional carbon credit savings of 25%. </t>
  </si>
  <si>
    <t>The average cost of the scheme was roughly £18 / tonne of CO2 saved, so a 25% area bonus was £4.50 per tonne of CO2 saved, rising to a bonus of 50% or £9 for 100% coverage.</t>
  </si>
  <si>
    <t>To convert this into a willingness to pay for additional community renewables we might assume that the marginal saving on CO2 per unit of zero carbon energy is 0.4 tonnes per MWh (assuming gas is the marginal fuel).</t>
  </si>
  <si>
    <t>That gives c.£4 / MWh (9*0.4), or 0.4p / kWh. Given that underlying UK carbon prices have increased by 400% since 2012 (from £10 in the EUETS to £40 with the EUETS + CPF), 0.5p/kWh seems a reasonable figure.</t>
  </si>
  <si>
    <t>See legislation here</t>
  </si>
  <si>
    <t>https://www.legislation.gov.uk/ukdsi/2009/9780111481929/contents</t>
  </si>
  <si>
    <t xml:space="preserve">Evaluation of CESP  </t>
  </si>
  <si>
    <t>https://assets.publishing.service.gov.uk/government/uploads/system/uploads/attachment_data/file/350722/CERT_CESP_Evaluation_FINAL_Report.pdf</t>
  </si>
  <si>
    <t>TBC</t>
  </si>
  <si>
    <t>CO2_Bulk system_traditional</t>
  </si>
  <si>
    <t>kg</t>
  </si>
  <si>
    <t>CO2_DER_flex_traditional</t>
  </si>
  <si>
    <t>CO2_Bulk system_flex</t>
  </si>
  <si>
    <t>CO2_DER_flex_flex</t>
  </si>
  <si>
    <r>
      <t>Cost of CO2 (</t>
    </r>
    <r>
      <rPr>
        <sz val="11"/>
        <color theme="1"/>
        <rFont val="Calibri"/>
        <family val="2"/>
      </rPr>
      <t>£/tonne CO2)</t>
    </r>
  </si>
  <si>
    <t>*Refer to ON-P data inputs tab. Changes per year</t>
  </si>
  <si>
    <t>Cost of Avoided GHG</t>
  </si>
  <si>
    <t>Diesel cost per MW</t>
  </si>
  <si>
    <t>£k per MW</t>
  </si>
  <si>
    <t>Diesel cost per MWh</t>
  </si>
  <si>
    <t>£k per MWh</t>
  </si>
  <si>
    <t>How much diesel is required per customer per hour</t>
  </si>
  <si>
    <t>Assumption: How much time is required for diesel gen in construction to supply customers</t>
  </si>
  <si>
    <t>Unplanned</t>
  </si>
  <si>
    <t>Planned</t>
  </si>
  <si>
    <t>*These numbers are configurable within the tool</t>
  </si>
  <si>
    <t>Cambridge's notes:</t>
  </si>
  <si>
    <t>CO2</t>
  </si>
  <si>
    <t xml:space="preserve">We need to define the kind of input we would need here, apart from the cost of CO2. </t>
  </si>
  <si>
    <t xml:space="preserve">To keep this simply we can consider those that are related to energy, I mean expressed in MWh or KWh. </t>
  </si>
  <si>
    <t>This can be for instance saving in distribution losses, avoided energy (4.3), net avoided outage(3.3? )</t>
  </si>
  <si>
    <t>Both types of inputs (distribution losses, energy) refer to Scope 2 emissions according to the latest SSE PLC sustainability report – 2019</t>
  </si>
  <si>
    <t>However according to the latest recommendation from DEFRA 2020, scope 3 emissions are the ones that enclose T&amp;D losses, need to check it in order to allocate the corresponding conversion factors.</t>
  </si>
  <si>
    <t xml:space="preserve">See SSE report (p. 17) </t>
  </si>
  <si>
    <t>https://www.sse.com/media/onej35am/sse-sustainability-report-2019-final-spreads.pdf</t>
  </si>
  <si>
    <t xml:space="preserve">And latest report from DEFRA (2020): </t>
  </si>
  <si>
    <t>https://www.gov.uk/government/publications/greenhouse-gas-reporting-conversion-factors-2020</t>
  </si>
  <si>
    <t>SF6</t>
  </si>
  <si>
    <t xml:space="preserve">The other option is to consider CO2 costs associated to others (excluding losses), for instance in distribution activities (i.e. the operation of substations: leakage from electricity substations, magnesium smelters, others), </t>
  </si>
  <si>
    <t xml:space="preserve">Don’t know if SSEN has this information per type of asset/item. </t>
  </si>
  <si>
    <t xml:space="preserve">However, this seems to be very small in comparison with the CO2 emissions from distribution losses. </t>
  </si>
  <si>
    <t xml:space="preserve">ENA is also proposing to include in the common methodology the impact of GHG (avoidance), I would suggest be aligned with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</si>
</sst>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Red]\-&quot;£&quot;#,##0.00"/>
    <numFmt numFmtId="165" formatCode="_-&quot;$&quot;* #,##0.00_-;\-&quot;$&quot;* #,##0.00_-;_-&quot;$&quot;* &quot;-&quot;??_-;_-@_-"/>
    <numFmt numFmtId="166" formatCode="&quot;£&quot;#,##0.00"/>
    <numFmt numFmtId="167" formatCode="_-[$£-809]* #,##0.00_-;\-[$£-809]* #,##0.00_-;_-[$£-809]* &quot;-&quot;??_-;_-@_-"/>
    <numFmt numFmtId="168" formatCode="0.000"/>
    <numFmt numFmtId="169" formatCode="&quot;$&quot;#,##0.00"/>
    <numFmt numFmtId="170" formatCode="0.0%"/>
    <numFmt numFmtId="171" formatCode="#,##0.00;[Red]\(#,##0.00\);\-"/>
    <numFmt numFmtId="172" formatCode="0.0"/>
  </numFmts>
  <fonts count="32">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10"/>
      <color theme="1"/>
      <name val="Times New Roman"/>
      <family val="1"/>
    </font>
    <font>
      <sz val="11"/>
      <color rgb="FF000000"/>
      <name val="Calibri"/>
      <family val="2"/>
    </font>
    <font>
      <b/>
      <sz val="11"/>
      <color theme="1"/>
      <name val="Calibri"/>
      <family val="2"/>
      <scheme val="minor"/>
    </font>
    <font>
      <sz val="11"/>
      <color theme="1"/>
      <name val="Calibri"/>
      <family val="2"/>
    </font>
    <font>
      <sz val="10"/>
      <color theme="1"/>
      <name val="Verdana"/>
      <family val="2"/>
    </font>
    <font>
      <b/>
      <sz val="26"/>
      <color theme="1"/>
      <name val="Verdana"/>
      <family val="2"/>
    </font>
    <font>
      <b/>
      <sz val="10"/>
      <color indexed="8"/>
      <name val="Verdana"/>
      <family val="2"/>
    </font>
    <font>
      <b/>
      <sz val="10"/>
      <color theme="1"/>
      <name val="Verdana"/>
      <family val="2"/>
    </font>
    <font>
      <sz val="10"/>
      <color rgb="FFFF0000"/>
      <name val="Verdana"/>
      <family val="2"/>
    </font>
    <font>
      <sz val="10"/>
      <name val="Verdana"/>
      <family val="2"/>
    </font>
    <font>
      <i/>
      <sz val="10"/>
      <color theme="1"/>
      <name val="Verdana"/>
      <family val="2"/>
    </font>
    <font>
      <u/>
      <sz val="8.8000000000000007"/>
      <color theme="10"/>
      <name val="Calibri"/>
      <family val="2"/>
    </font>
    <font>
      <sz val="8"/>
      <name val="Verdana"/>
      <family val="2"/>
    </font>
    <font>
      <sz val="10"/>
      <name val="Arial"/>
      <family val="2"/>
    </font>
    <font>
      <b/>
      <u/>
      <sz val="10"/>
      <name val="Verdana"/>
      <family val="2"/>
    </font>
    <font>
      <b/>
      <sz val="10"/>
      <color rgb="FFFF0000"/>
      <name val="Verdana"/>
      <family val="2"/>
    </font>
    <font>
      <b/>
      <sz val="10"/>
      <name val="Verdana"/>
      <family val="2"/>
    </font>
    <font>
      <b/>
      <u/>
      <sz val="10"/>
      <color theme="1"/>
      <name val="Verdana"/>
      <family val="2"/>
    </font>
    <font>
      <i/>
      <sz val="10"/>
      <name val="Verdana"/>
      <family val="2"/>
    </font>
    <font>
      <i/>
      <u/>
      <sz val="10"/>
      <color theme="10"/>
      <name val="Verdana"/>
      <family val="2"/>
    </font>
    <font>
      <i/>
      <u/>
      <vertAlign val="superscript"/>
      <sz val="10"/>
      <color theme="10"/>
      <name val="Verdana"/>
      <family val="2"/>
    </font>
    <font>
      <u/>
      <sz val="11"/>
      <color theme="10"/>
      <name val="Calibri"/>
      <family val="2"/>
      <scheme val="minor"/>
    </font>
    <font>
      <sz val="11"/>
      <color rgb="FF006100"/>
      <name val="Arial"/>
      <family val="2"/>
    </font>
    <font>
      <b/>
      <sz val="11"/>
      <color rgb="FF006100"/>
      <name val="Calibri"/>
      <family val="2"/>
      <scheme val="minor"/>
    </font>
    <font>
      <sz val="11"/>
      <color rgb="FFC00000"/>
      <name val="Calibri"/>
      <family val="2"/>
      <scheme val="minor"/>
    </font>
    <font>
      <b/>
      <sz val="11"/>
      <color rgb="FF0070C0"/>
      <name val="Calibri"/>
      <family val="2"/>
      <scheme val="minor"/>
    </font>
    <font>
      <b/>
      <sz val="11"/>
      <color rgb="FFC00000"/>
      <name val="Calibri"/>
      <family val="2"/>
      <scheme val="minor"/>
    </font>
    <font>
      <sz val="11"/>
      <name val="Calibri"/>
      <family val="2"/>
      <scheme val="minor"/>
    </font>
  </fonts>
  <fills count="16">
    <fill>
      <patternFill patternType="none"/>
    </fill>
    <fill>
      <patternFill patternType="gray125"/>
    </fill>
    <fill>
      <patternFill patternType="solid">
        <fgColor rgb="FFFFF2CC"/>
        <bgColor indexed="64"/>
      </patternFill>
    </fill>
    <fill>
      <patternFill patternType="solid">
        <fgColor rgb="FFDEEAF6"/>
        <bgColor indexed="64"/>
      </patternFill>
    </fill>
    <fill>
      <patternFill patternType="solid">
        <fgColor rgb="FFE2EFD9"/>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C6EFCE"/>
      </patternFill>
    </fill>
    <fill>
      <patternFill patternType="solid">
        <fgColor theme="9" tint="0.39997558519241921"/>
        <bgColor indexed="64"/>
      </patternFill>
    </fill>
    <fill>
      <patternFill patternType="solid">
        <fgColor theme="4"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9" fontId="3" fillId="0" borderId="0" applyFont="0" applyFill="0" applyBorder="0" applyAlignment="0" applyProtection="0"/>
    <xf numFmtId="165" fontId="3" fillId="0" borderId="0" applyFont="0" applyFill="0" applyBorder="0" applyAlignment="0" applyProtection="0"/>
    <xf numFmtId="0" fontId="8" fillId="0" borderId="0"/>
    <xf numFmtId="0" fontId="3" fillId="0" borderId="0"/>
    <xf numFmtId="9" fontId="8" fillId="0" borderId="0" applyFont="0" applyFill="0" applyBorder="0" applyAlignment="0" applyProtection="0"/>
    <xf numFmtId="0" fontId="15" fillId="0" borderId="0" applyNumberFormat="0" applyFill="0" applyBorder="0" applyAlignment="0" applyProtection="0">
      <alignment vertical="top"/>
      <protection locked="0"/>
    </xf>
    <xf numFmtId="0" fontId="17" fillId="0" borderId="0"/>
    <xf numFmtId="0" fontId="17" fillId="0" borderId="0"/>
    <xf numFmtId="0" fontId="25" fillId="0" borderId="0" applyNumberFormat="0" applyFill="0" applyBorder="0" applyAlignment="0" applyProtection="0"/>
    <xf numFmtId="0" fontId="26" fillId="13" borderId="0" applyNumberFormat="0" applyBorder="0" applyAlignment="0" applyProtection="0"/>
  </cellStyleXfs>
  <cellXfs count="166">
    <xf numFmtId="0" fontId="0" fillId="0" borderId="0" xfId="0"/>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0" fillId="2" borderId="1" xfId="0" applyFill="1" applyBorder="1" applyAlignment="1">
      <alignment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wrapText="1"/>
    </xf>
    <xf numFmtId="164" fontId="0" fillId="0" borderId="0" xfId="0" applyNumberFormat="1"/>
    <xf numFmtId="166" fontId="0" fillId="0" borderId="0" xfId="0" applyNumberFormat="1"/>
    <xf numFmtId="0" fontId="0" fillId="0" borderId="1" xfId="0" applyBorder="1"/>
    <xf numFmtId="164" fontId="0" fillId="0" borderId="1" xfId="0" applyNumberFormat="1" applyBorder="1"/>
    <xf numFmtId="0" fontId="0" fillId="5" borderId="1" xfId="0" applyFill="1" applyBorder="1"/>
    <xf numFmtId="9" fontId="0" fillId="0" borderId="1" xfId="1" applyFont="1" applyBorder="1"/>
    <xf numFmtId="166" fontId="0" fillId="0" borderId="1" xfId="0" applyNumberFormat="1" applyBorder="1"/>
    <xf numFmtId="0" fontId="0" fillId="0" borderId="1" xfId="0" applyFill="1" applyBorder="1"/>
    <xf numFmtId="0" fontId="2" fillId="3" borderId="1" xfId="0" applyFont="1" applyFill="1" applyBorder="1" applyAlignment="1">
      <alignment horizontal="left" vertical="center" wrapText="1"/>
    </xf>
    <xf numFmtId="9" fontId="0" fillId="6" borderId="1" xfId="0" applyNumberFormat="1" applyFill="1" applyBorder="1"/>
    <xf numFmtId="0" fontId="2" fillId="7" borderId="1" xfId="0" applyFont="1" applyFill="1" applyBorder="1" applyAlignment="1">
      <alignment horizontal="left" vertical="center"/>
    </xf>
    <xf numFmtId="0" fontId="0" fillId="0" borderId="0" xfId="0" applyAlignment="1">
      <alignment vertical="center"/>
    </xf>
    <xf numFmtId="0" fontId="1" fillId="0" borderId="3" xfId="0" applyFont="1" applyFill="1" applyBorder="1" applyAlignment="1">
      <alignment horizontal="left" vertical="center" wrapText="1"/>
    </xf>
    <xf numFmtId="0" fontId="0" fillId="0" borderId="0" xfId="0" applyAlignment="1">
      <alignment wrapText="1"/>
    </xf>
    <xf numFmtId="0" fontId="0" fillId="5" borderId="0" xfId="0" applyFill="1"/>
    <xf numFmtId="0" fontId="6" fillId="0" borderId="0" xfId="0" applyFont="1"/>
    <xf numFmtId="0" fontId="5" fillId="5" borderId="0" xfId="0" applyFont="1" applyFill="1" applyAlignment="1">
      <alignment vertical="center"/>
    </xf>
    <xf numFmtId="0" fontId="4" fillId="5" borderId="0" xfId="0" applyFont="1" applyFill="1"/>
    <xf numFmtId="164" fontId="0" fillId="5" borderId="0" xfId="0" applyNumberFormat="1" applyFill="1"/>
    <xf numFmtId="0" fontId="0" fillId="0" borderId="0" xfId="0" applyBorder="1"/>
    <xf numFmtId="167" fontId="0" fillId="0" borderId="0" xfId="2" applyNumberFormat="1" applyFont="1"/>
    <xf numFmtId="0" fontId="1" fillId="8" borderId="5" xfId="0" applyFont="1" applyFill="1" applyBorder="1" applyAlignment="1">
      <alignment horizontal="left" vertical="center"/>
    </xf>
    <xf numFmtId="0" fontId="0" fillId="8" borderId="6" xfId="0" applyFill="1" applyBorder="1"/>
    <xf numFmtId="0" fontId="0" fillId="8" borderId="7" xfId="0" applyFill="1" applyBorder="1"/>
    <xf numFmtId="0" fontId="0" fillId="8" borderId="8" xfId="0" applyFill="1" applyBorder="1"/>
    <xf numFmtId="0" fontId="0" fillId="8" borderId="9" xfId="0" applyFill="1" applyBorder="1"/>
    <xf numFmtId="0" fontId="1" fillId="0" borderId="1" xfId="0" applyFont="1" applyFill="1" applyBorder="1" applyAlignment="1">
      <alignment horizontal="left" vertical="center" wrapText="1"/>
    </xf>
    <xf numFmtId="0" fontId="0" fillId="0" borderId="0" xfId="0" applyNumberFormat="1"/>
    <xf numFmtId="169" fontId="0" fillId="0" borderId="0" xfId="0" applyNumberFormat="1"/>
    <xf numFmtId="0" fontId="9" fillId="0" borderId="0" xfId="3" applyFont="1" applyFill="1" applyBorder="1" applyProtection="1"/>
    <xf numFmtId="0" fontId="8" fillId="0" borderId="0" xfId="3" applyFont="1" applyAlignment="1" applyProtection="1"/>
    <xf numFmtId="0" fontId="8" fillId="0" borderId="0" xfId="3" applyFont="1" applyAlignment="1" applyProtection="1">
      <alignment horizontal="center"/>
    </xf>
    <xf numFmtId="0" fontId="10" fillId="0" borderId="0" xfId="3" applyFont="1" applyAlignment="1" applyProtection="1">
      <alignment horizontal="left" vertical="top"/>
    </xf>
    <xf numFmtId="0" fontId="8" fillId="0" borderId="0" xfId="3" applyFont="1" applyAlignment="1" applyProtection="1">
      <alignment vertical="top" wrapText="1"/>
    </xf>
    <xf numFmtId="0" fontId="8" fillId="0" borderId="0" xfId="3" applyFont="1" applyAlignment="1" applyProtection="1">
      <alignment horizontal="center" vertical="center"/>
    </xf>
    <xf numFmtId="0" fontId="8" fillId="0" borderId="0" xfId="3" applyFont="1" applyProtection="1"/>
    <xf numFmtId="0" fontId="8" fillId="0" borderId="0" xfId="3"/>
    <xf numFmtId="0" fontId="11" fillId="0" borderId="0" xfId="4" applyFont="1" applyFill="1" applyProtection="1"/>
    <xf numFmtId="0" fontId="0" fillId="0" borderId="0" xfId="4" applyFont="1" applyFill="1" applyAlignment="1" applyProtection="1">
      <alignment horizontal="center" vertical="center"/>
    </xf>
    <xf numFmtId="0" fontId="12" fillId="0" borderId="0" xfId="3" applyFont="1" applyProtection="1"/>
    <xf numFmtId="0" fontId="11" fillId="0" borderId="0" xfId="3" applyFont="1" applyProtection="1"/>
    <xf numFmtId="0" fontId="0" fillId="0" borderId="0" xfId="4" applyFont="1" applyFill="1" applyProtection="1"/>
    <xf numFmtId="9" fontId="13" fillId="9" borderId="1" xfId="5" applyFont="1" applyFill="1" applyBorder="1" applyAlignment="1" applyProtection="1">
      <alignment horizontal="center" vertical="center"/>
    </xf>
    <xf numFmtId="170" fontId="13" fillId="9" borderId="1" xfId="5" applyNumberFormat="1" applyFont="1" applyFill="1" applyBorder="1" applyAlignment="1" applyProtection="1">
      <alignment horizontal="center" vertical="center"/>
    </xf>
    <xf numFmtId="0" fontId="14" fillId="0" borderId="0" xfId="4" applyFont="1" applyFill="1" applyAlignment="1" applyProtection="1"/>
    <xf numFmtId="2" fontId="0" fillId="10" borderId="1" xfId="4" applyNumberFormat="1" applyFont="1" applyFill="1" applyBorder="1" applyAlignment="1" applyProtection="1">
      <alignment horizontal="center" vertical="center"/>
    </xf>
    <xf numFmtId="0" fontId="13" fillId="0" borderId="0" xfId="3" applyFont="1" applyProtection="1"/>
    <xf numFmtId="0" fontId="15" fillId="0" borderId="0" xfId="6" applyAlignment="1" applyProtection="1"/>
    <xf numFmtId="10" fontId="0" fillId="10" borderId="1" xfId="4" applyNumberFormat="1" applyFont="1" applyFill="1" applyBorder="1" applyAlignment="1" applyProtection="1">
      <alignment horizontal="center" vertical="center"/>
    </xf>
    <xf numFmtId="0" fontId="16" fillId="0" borderId="0" xfId="4" applyFont="1" applyFill="1" applyAlignment="1" applyProtection="1">
      <alignment horizontal="left" vertical="center"/>
    </xf>
    <xf numFmtId="0" fontId="15" fillId="0" borderId="0" xfId="6" applyFill="1" applyAlignment="1" applyProtection="1">
      <alignment vertical="center"/>
    </xf>
    <xf numFmtId="2" fontId="0" fillId="9" borderId="1" xfId="4" applyNumberFormat="1" applyFont="1" applyFill="1" applyBorder="1" applyAlignment="1" applyProtection="1">
      <alignment horizontal="center" vertical="center"/>
    </xf>
    <xf numFmtId="0" fontId="12" fillId="0" borderId="0" xfId="4" applyFont="1" applyFill="1" applyProtection="1"/>
    <xf numFmtId="0" fontId="15" fillId="0" borderId="0" xfId="6" applyFill="1" applyAlignment="1" applyProtection="1"/>
    <xf numFmtId="2" fontId="0" fillId="11" borderId="1" xfId="4" applyNumberFormat="1" applyFont="1" applyFill="1" applyBorder="1" applyAlignment="1" applyProtection="1">
      <alignment horizontal="center" vertical="center"/>
    </xf>
    <xf numFmtId="1" fontId="0" fillId="10" borderId="1" xfId="4" applyNumberFormat="1" applyFont="1" applyFill="1" applyBorder="1" applyAlignment="1" applyProtection="1">
      <alignment horizontal="center" vertical="center"/>
    </xf>
    <xf numFmtId="0" fontId="13" fillId="0" borderId="0" xfId="4" applyFont="1" applyFill="1" applyProtection="1"/>
    <xf numFmtId="0" fontId="15" fillId="0" borderId="0" xfId="6" applyFill="1" applyBorder="1" applyAlignment="1" applyProtection="1">
      <alignment horizontal="left"/>
    </xf>
    <xf numFmtId="0" fontId="18" fillId="0" borderId="0" xfId="7" applyFont="1" applyFill="1" applyBorder="1" applyAlignment="1" applyProtection="1">
      <alignment horizontal="center" vertical="center"/>
    </xf>
    <xf numFmtId="0" fontId="18" fillId="0" borderId="0" xfId="7" applyFont="1" applyFill="1" applyBorder="1" applyAlignment="1" applyProtection="1"/>
    <xf numFmtId="0" fontId="13" fillId="11" borderId="1" xfId="7" applyFont="1" applyFill="1" applyBorder="1" applyAlignment="1" applyProtection="1">
      <alignment horizontal="center" vertical="center" wrapText="1"/>
    </xf>
    <xf numFmtId="168" fontId="13" fillId="11" borderId="1" xfId="7" applyNumberFormat="1" applyFont="1" applyFill="1" applyBorder="1" applyAlignment="1" applyProtection="1">
      <alignment horizontal="center" vertical="center" wrapText="1"/>
    </xf>
    <xf numFmtId="0" fontId="12" fillId="0" borderId="0" xfId="4" applyFont="1" applyFill="1" applyAlignment="1" applyProtection="1">
      <alignment vertical="center"/>
    </xf>
    <xf numFmtId="0" fontId="13" fillId="12" borderId="1" xfId="7" applyFont="1" applyFill="1" applyBorder="1" applyAlignment="1" applyProtection="1">
      <alignment horizontal="center" vertical="center" wrapText="1"/>
    </xf>
    <xf numFmtId="0" fontId="13" fillId="11" borderId="1" xfId="7" applyFont="1" applyFill="1" applyBorder="1" applyAlignment="1" applyProtection="1">
      <alignment horizontal="center" vertical="center"/>
    </xf>
    <xf numFmtId="168" fontId="13" fillId="11" borderId="1" xfId="7" applyNumberFormat="1" applyFont="1" applyFill="1" applyBorder="1" applyAlignment="1" applyProtection="1">
      <alignment horizontal="center" vertical="center"/>
    </xf>
    <xf numFmtId="2" fontId="13" fillId="11" borderId="1" xfId="7" applyNumberFormat="1" applyFont="1" applyFill="1" applyBorder="1" applyAlignment="1" applyProtection="1">
      <alignment horizontal="center" vertical="center"/>
    </xf>
    <xf numFmtId="2" fontId="13" fillId="11" borderId="1" xfId="7" applyNumberFormat="1" applyFont="1" applyFill="1" applyBorder="1" applyAlignment="1" applyProtection="1">
      <alignment horizontal="center" vertical="center" wrapText="1"/>
    </xf>
    <xf numFmtId="168" fontId="13" fillId="12" borderId="1" xfId="7" applyNumberFormat="1" applyFont="1" applyFill="1" applyBorder="1" applyAlignment="1" applyProtection="1">
      <alignment horizontal="center" vertical="center" wrapText="1"/>
    </xf>
    <xf numFmtId="0" fontId="12" fillId="0" borderId="0" xfId="4" applyFont="1" applyProtection="1"/>
    <xf numFmtId="0" fontId="12" fillId="0" borderId="0" xfId="4" applyFont="1" applyFill="1" applyAlignment="1" applyProtection="1">
      <alignment horizontal="center" vertical="center"/>
    </xf>
    <xf numFmtId="0" fontId="0" fillId="0" borderId="0" xfId="4" applyFont="1" applyProtection="1"/>
    <xf numFmtId="171" fontId="8" fillId="11" borderId="1" xfId="3" applyNumberFormat="1" applyFont="1" applyFill="1" applyBorder="1" applyAlignment="1" applyProtection="1">
      <alignment horizontal="center" vertical="center"/>
    </xf>
    <xf numFmtId="0" fontId="0" fillId="0" borderId="0" xfId="4" applyFont="1" applyFill="1" applyBorder="1" applyProtection="1"/>
    <xf numFmtId="1" fontId="12" fillId="0" borderId="0" xfId="4" applyNumberFormat="1" applyFont="1" applyProtection="1"/>
    <xf numFmtId="1" fontId="19" fillId="0" borderId="0" xfId="4" applyNumberFormat="1" applyFont="1" applyFill="1" applyProtection="1"/>
    <xf numFmtId="1" fontId="19" fillId="0" borderId="0" xfId="4" applyNumberFormat="1" applyFont="1" applyFill="1" applyAlignment="1" applyProtection="1">
      <alignment horizontal="center" vertical="center" wrapText="1"/>
    </xf>
    <xf numFmtId="0" fontId="11" fillId="0" borderId="0" xfId="4" applyFont="1" applyFill="1" applyBorder="1" applyProtection="1"/>
    <xf numFmtId="1" fontId="20" fillId="0" borderId="0" xfId="4" applyNumberFormat="1" applyFont="1" applyBorder="1" applyAlignment="1" applyProtection="1">
      <alignment horizontal="center" vertical="center" wrapText="1"/>
    </xf>
    <xf numFmtId="1" fontId="20" fillId="0" borderId="0" xfId="4" applyNumberFormat="1" applyFont="1" applyFill="1" applyAlignment="1" applyProtection="1">
      <alignment horizontal="center" vertical="center"/>
    </xf>
    <xf numFmtId="2" fontId="0" fillId="0" borderId="0" xfId="4" applyNumberFormat="1" applyFont="1" applyFill="1" applyProtection="1"/>
    <xf numFmtId="2" fontId="0" fillId="0" borderId="0" xfId="4" applyNumberFormat="1" applyFont="1" applyFill="1" applyBorder="1" applyProtection="1"/>
    <xf numFmtId="1" fontId="0" fillId="0" borderId="0" xfId="4" applyNumberFormat="1" applyFont="1" applyFill="1" applyProtection="1"/>
    <xf numFmtId="0" fontId="13" fillId="0" borderId="0" xfId="8" applyFont="1" applyFill="1" applyBorder="1" applyAlignment="1" applyProtection="1"/>
    <xf numFmtId="0" fontId="20" fillId="0" borderId="0" xfId="8" applyFont="1" applyFill="1" applyBorder="1" applyAlignment="1" applyProtection="1">
      <alignment horizontal="center"/>
    </xf>
    <xf numFmtId="2" fontId="0" fillId="0" borderId="0" xfId="4" applyNumberFormat="1" applyFont="1" applyFill="1" applyBorder="1" applyAlignment="1" applyProtection="1">
      <alignment horizontal="center"/>
    </xf>
    <xf numFmtId="2" fontId="11" fillId="0" borderId="0" xfId="4" applyNumberFormat="1" applyFont="1" applyFill="1" applyBorder="1" applyProtection="1"/>
    <xf numFmtId="0" fontId="11" fillId="0" borderId="0" xfId="4" applyFont="1" applyFill="1" applyBorder="1" applyAlignment="1" applyProtection="1">
      <alignment horizontal="center" vertical="center" wrapText="1"/>
    </xf>
    <xf numFmtId="0" fontId="0" fillId="0" borderId="0" xfId="4" applyFont="1" applyFill="1" applyBorder="1" applyAlignment="1" applyProtection="1">
      <alignment wrapText="1"/>
    </xf>
    <xf numFmtId="0" fontId="0" fillId="0" borderId="0" xfId="4" applyFont="1" applyFill="1" applyBorder="1" applyAlignment="1" applyProtection="1"/>
    <xf numFmtId="0" fontId="21" fillId="0" borderId="0" xfId="4" applyFont="1" applyFill="1" applyBorder="1" applyAlignment="1" applyProtection="1">
      <alignment wrapText="1"/>
    </xf>
    <xf numFmtId="0" fontId="11" fillId="0" borderId="0" xfId="4" applyFont="1" applyFill="1" applyBorder="1" applyAlignment="1" applyProtection="1">
      <alignment horizontal="left" wrapText="1"/>
    </xf>
    <xf numFmtId="2" fontId="12" fillId="11" borderId="1" xfId="7" applyNumberFormat="1" applyFont="1" applyFill="1" applyBorder="1" applyAlignment="1" applyProtection="1">
      <alignment horizontal="center" vertical="center"/>
    </xf>
    <xf numFmtId="0" fontId="20" fillId="0" borderId="0" xfId="8" applyFont="1" applyFill="1" applyBorder="1" applyAlignment="1" applyProtection="1">
      <alignment horizontal="center" wrapText="1"/>
    </xf>
    <xf numFmtId="0" fontId="22" fillId="0" borderId="0" xfId="4" applyFont="1" applyProtection="1"/>
    <xf numFmtId="0" fontId="23" fillId="0" borderId="0" xfId="6" applyFont="1" applyAlignment="1" applyProtection="1">
      <alignment vertical="top"/>
    </xf>
    <xf numFmtId="0" fontId="8" fillId="0" borderId="0" xfId="3" applyFont="1" applyFill="1" applyProtection="1"/>
    <xf numFmtId="9" fontId="8" fillId="0" borderId="0" xfId="3" applyNumberFormat="1" applyFont="1" applyAlignment="1" applyProtection="1">
      <alignment horizontal="center" vertical="center"/>
    </xf>
    <xf numFmtId="0" fontId="0" fillId="0" borderId="1" xfId="0" applyBorder="1" applyAlignment="1">
      <alignment wrapText="1"/>
    </xf>
    <xf numFmtId="0" fontId="0" fillId="0" borderId="14" xfId="0" applyFill="1" applyBorder="1"/>
    <xf numFmtId="0" fontId="25" fillId="0" borderId="0" xfId="9"/>
    <xf numFmtId="0" fontId="0" fillId="15" borderId="0" xfId="0" applyFill="1"/>
    <xf numFmtId="2" fontId="0" fillId="0" borderId="0" xfId="0" applyNumberFormat="1"/>
    <xf numFmtId="0" fontId="0" fillId="0" borderId="0" xfId="0" applyAlignment="1">
      <alignment vertical="top"/>
    </xf>
    <xf numFmtId="0" fontId="28" fillId="0" borderId="0" xfId="0" applyFont="1"/>
    <xf numFmtId="0" fontId="29" fillId="0" borderId="0" xfId="0" applyFont="1"/>
    <xf numFmtId="0" fontId="30" fillId="0" borderId="0" xfId="0" applyFont="1"/>
    <xf numFmtId="0" fontId="2" fillId="7" borderId="1" xfId="0" applyFont="1" applyFill="1" applyBorder="1" applyAlignment="1">
      <alignment horizontal="left" vertical="center" wrapText="1"/>
    </xf>
    <xf numFmtId="0" fontId="0" fillId="7" borderId="1" xfId="0" applyFill="1" applyBorder="1" applyAlignment="1">
      <alignment vertical="center" wrapText="1"/>
    </xf>
    <xf numFmtId="0" fontId="2" fillId="7" borderId="1" xfId="0" applyFont="1" applyFill="1" applyBorder="1" applyAlignment="1">
      <alignment vertical="center" wrapText="1"/>
    </xf>
    <xf numFmtId="0" fontId="2" fillId="0" borderId="0" xfId="0" applyFont="1" applyFill="1" applyBorder="1" applyAlignment="1">
      <alignment horizontal="left" vertical="center"/>
    </xf>
    <xf numFmtId="0" fontId="0" fillId="0" borderId="0" xfId="0" applyFont="1" applyBorder="1" applyAlignment="1"/>
    <xf numFmtId="0" fontId="0" fillId="0" borderId="0" xfId="0" applyFont="1" applyBorder="1"/>
    <xf numFmtId="0" fontId="6" fillId="0" borderId="0" xfId="0" applyFont="1" applyBorder="1" applyAlignment="1"/>
    <xf numFmtId="2" fontId="0" fillId="0" borderId="0" xfId="0" quotePrefix="1" applyNumberFormat="1" applyFont="1" applyBorder="1"/>
    <xf numFmtId="2" fontId="0" fillId="0" borderId="0" xfId="0" quotePrefix="1" applyNumberFormat="1" applyBorder="1"/>
    <xf numFmtId="0" fontId="0" fillId="0" borderId="0" xfId="0" quotePrefix="1" applyFont="1" applyBorder="1"/>
    <xf numFmtId="0" fontId="0" fillId="0" borderId="0" xfId="0" quotePrefix="1" applyBorder="1"/>
    <xf numFmtId="0" fontId="6" fillId="0" borderId="0" xfId="0" applyFont="1" applyBorder="1"/>
    <xf numFmtId="0" fontId="6" fillId="0" borderId="1" xfId="0" applyFont="1" applyBorder="1"/>
    <xf numFmtId="0" fontId="0" fillId="0" borderId="1" xfId="0" applyFont="1" applyBorder="1"/>
    <xf numFmtId="172" fontId="0" fillId="0" borderId="0" xfId="0" applyNumberFormat="1"/>
    <xf numFmtId="0" fontId="2" fillId="0" borderId="1" xfId="0" applyFont="1" applyBorder="1"/>
    <xf numFmtId="166" fontId="2" fillId="0" borderId="0" xfId="0" applyNumberFormat="1" applyFont="1" applyAlignment="1">
      <alignment horizontal="center"/>
    </xf>
    <xf numFmtId="0" fontId="2" fillId="0" borderId="0" xfId="0" applyFont="1" applyBorder="1"/>
    <xf numFmtId="0" fontId="2" fillId="0" borderId="0" xfId="0" applyFont="1"/>
    <xf numFmtId="0" fontId="2" fillId="0" borderId="0" xfId="0" applyFont="1" applyAlignment="1">
      <alignment horizontal="center"/>
    </xf>
    <xf numFmtId="0" fontId="2" fillId="8" borderId="0" xfId="0" applyFont="1" applyFill="1" applyBorder="1"/>
    <xf numFmtId="0" fontId="0" fillId="0" borderId="0" xfId="0" applyFill="1"/>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left" vertical="center" wrapText="1"/>
    </xf>
    <xf numFmtId="16" fontId="5" fillId="0" borderId="1" xfId="0" quotePrefix="1" applyNumberFormat="1" applyFont="1" applyBorder="1" applyAlignment="1">
      <alignment vertical="center"/>
    </xf>
    <xf numFmtId="0" fontId="5" fillId="0" borderId="1" xfId="0" applyFont="1" applyBorder="1" applyAlignment="1">
      <alignment horizontal="right" vertical="center"/>
    </xf>
    <xf numFmtId="0" fontId="0" fillId="0" borderId="0" xfId="0" applyFill="1" applyBorder="1"/>
    <xf numFmtId="0" fontId="31" fillId="4" borderId="1" xfId="0" applyFont="1" applyFill="1" applyBorder="1" applyAlignment="1">
      <alignment horizontal="left" vertical="center"/>
    </xf>
    <xf numFmtId="0" fontId="0" fillId="8" borderId="10" xfId="0" applyFill="1" applyBorder="1" applyAlignment="1">
      <alignment wrapText="1"/>
    </xf>
    <xf numFmtId="0" fontId="2" fillId="4" borderId="1" xfId="0" applyFont="1" applyFill="1" applyBorder="1" applyAlignment="1">
      <alignment horizontal="left" vertical="center"/>
    </xf>
    <xf numFmtId="0" fontId="0" fillId="0" borderId="0" xfId="4" applyFont="1" applyFill="1" applyBorder="1" applyAlignment="1" applyProtection="1">
      <alignment horizontal="center" vertical="top" wrapText="1"/>
    </xf>
    <xf numFmtId="0" fontId="0" fillId="0" borderId="0" xfId="4" applyFont="1" applyFill="1" applyBorder="1" applyAlignment="1" applyProtection="1">
      <alignment horizontal="center" wrapText="1"/>
    </xf>
    <xf numFmtId="0" fontId="8" fillId="0" borderId="0" xfId="3" applyFont="1" applyAlignment="1" applyProtection="1">
      <alignment horizontal="left" vertical="top" wrapText="1"/>
    </xf>
    <xf numFmtId="168" fontId="13" fillId="11" borderId="11" xfId="7" applyNumberFormat="1" applyFont="1" applyFill="1" applyBorder="1" applyAlignment="1" applyProtection="1">
      <alignment horizontal="left" vertical="top" wrapText="1"/>
    </xf>
    <xf numFmtId="168" fontId="13" fillId="11" borderId="12" xfId="7" applyNumberFormat="1" applyFont="1" applyFill="1" applyBorder="1" applyAlignment="1" applyProtection="1">
      <alignment horizontal="left" vertical="top" wrapText="1"/>
    </xf>
    <xf numFmtId="168" fontId="13" fillId="11" borderId="13" xfId="7" applyNumberFormat="1" applyFont="1" applyFill="1" applyBorder="1" applyAlignment="1" applyProtection="1">
      <alignment horizontal="left" vertical="top" wrapText="1"/>
    </xf>
    <xf numFmtId="0" fontId="11" fillId="11" borderId="1" xfId="3" applyFont="1" applyFill="1" applyBorder="1" applyAlignment="1" applyProtection="1">
      <alignment horizontal="center" vertical="center"/>
    </xf>
    <xf numFmtId="0" fontId="21" fillId="0" borderId="0" xfId="4" applyFont="1" applyFill="1" applyBorder="1" applyAlignment="1" applyProtection="1">
      <alignment horizontal="center" vertical="top" wrapText="1"/>
    </xf>
    <xf numFmtId="0" fontId="2" fillId="4" borderId="1" xfId="0" applyFont="1" applyFill="1" applyBorder="1" applyAlignment="1">
      <alignment horizontal="lef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27" fillId="14" borderId="11" xfId="10" applyFont="1" applyFill="1" applyBorder="1" applyAlignment="1">
      <alignment horizontal="center"/>
    </xf>
    <xf numFmtId="0" fontId="27" fillId="14" borderId="12" xfId="10" applyFont="1" applyFill="1" applyBorder="1" applyAlignment="1">
      <alignment horizontal="center"/>
    </xf>
    <xf numFmtId="0" fontId="27" fillId="14" borderId="13" xfId="10" applyFont="1" applyFill="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cellXfs>
  <cellStyles count="11">
    <cellStyle name="% 100" xfId="7" xr:uid="{94F12C69-F2CE-4514-BA68-F23E18B3891A}"/>
    <cellStyle name="=C:\WINNT\SYSTEM32\COMMAND.COM 6" xfId="8" xr:uid="{1034758B-F286-482E-8298-8287FE9369BE}"/>
    <cellStyle name="Currency" xfId="2" builtinId="4"/>
    <cellStyle name="Good" xfId="10" builtinId="26"/>
    <cellStyle name="Hyperlink" xfId="9" builtinId="8"/>
    <cellStyle name="Hyperlink 2" xfId="6" xr:uid="{DF776C2E-B793-44CE-8ECD-C86D432E0584}"/>
    <cellStyle name="Normal" xfId="0" builtinId="0"/>
    <cellStyle name="Normal 2" xfId="3" xr:uid="{02FB8C6F-4809-43B5-93EB-5709FB8DC5FF}"/>
    <cellStyle name="Normal 2 2" xfId="4" xr:uid="{687E6852-C0B8-4711-88CB-A71060E1FCE7}"/>
    <cellStyle name="Percent" xfId="1" builtinId="5"/>
    <cellStyle name="Percent 2" xfId="5" xr:uid="{01EB2050-C55C-42A3-8D2F-5133328382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CA"/>
              <a:t>Probabity of Failure</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'3.3 Net avoided outage costs'!$B$16:$D$16</c:f>
              <c:strCache>
                <c:ptCount val="1"/>
                <c:pt idx="0">
                  <c:v>Asset 1</c:v>
                </c:pt>
              </c:strCache>
            </c:strRef>
          </c:tx>
          <c:spPr>
            <a:ln w="38100" cap="flat" cmpd="dbl" algn="ctr">
              <a:solidFill>
                <a:schemeClr val="accent1"/>
              </a:solidFill>
              <a:miter lim="800000"/>
            </a:ln>
            <a:effectLst/>
          </c:spPr>
          <c:marker>
            <c:symbol val="none"/>
          </c:marker>
          <c:cat>
            <c:numRef>
              <c:f>'3.3 Net avoided outage costs'!$B$27:$B$45</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'3.3 Net avoided outage costs'!$C$27:$C$45</c:f>
              <c:numCache>
                <c:formatCode>General</c:formatCode>
                <c:ptCount val="19"/>
                <c:pt idx="0">
                  <c:v>7.9680851629393423E-3</c:v>
                </c:pt>
                <c:pt idx="1">
                  <c:v>2.6638758475663216E-2</c:v>
                </c:pt>
                <c:pt idx="2">
                  <c:v>6.1995000469270534E-2</c:v>
                </c:pt>
                <c:pt idx="3">
                  <c:v>0.11750309741540454</c:v>
                </c:pt>
                <c:pt idx="4">
                  <c:v>0.19426469812652036</c:v>
                </c:pt>
                <c:pt idx="5">
                  <c:v>0.29036178843979132</c:v>
                </c:pt>
                <c:pt idx="6">
                  <c:v>0.40070421215446161</c:v>
                </c:pt>
                <c:pt idx="7">
                  <c:v>0.51760885988487404</c:v>
                </c:pt>
                <c:pt idx="8">
                  <c:v>0.63212055882855767</c:v>
                </c:pt>
                <c:pt idx="9">
                  <c:v>0.73578708376691382</c:v>
                </c:pt>
                <c:pt idx="10">
                  <c:v>0.82236066640486505</c:v>
                </c:pt>
                <c:pt idx="11">
                  <c:v>0.88886393304937816</c:v>
                </c:pt>
                <c:pt idx="12">
                  <c:v>0.93568741861969118</c:v>
                </c:pt>
                <c:pt idx="13">
                  <c:v>0.96578188168833401</c:v>
                </c:pt>
                <c:pt idx="14">
                  <c:v>0.98336090113827634</c:v>
                </c:pt>
                <c:pt idx="15">
                  <c:v>0.99264959599057989</c:v>
                </c:pt>
                <c:pt idx="16">
                  <c:v>0.99706779330149842</c:v>
                </c:pt>
                <c:pt idx="17">
                  <c:v>0.99895003662880777</c:v>
                </c:pt>
                <c:pt idx="18">
                  <c:v>0.99966453737209748</c:v>
                </c:pt>
              </c:numCache>
            </c:numRef>
          </c:val>
          <c:smooth val="0"/>
          <c:extLst>
            <c:ext xmlns:c16="http://schemas.microsoft.com/office/drawing/2014/chart" uri="{C3380CC4-5D6E-409C-BE32-E72D297353CC}">
              <c16:uniqueId val="{00000000-BF5E-48E4-968B-F2F4D1B8875F}"/>
            </c:ext>
          </c:extLst>
        </c:ser>
        <c:ser>
          <c:idx val="1"/>
          <c:order val="1"/>
          <c:tx>
            <c:strRef>
              <c:f>'3.3 Net avoided outage costs'!$H$16:$J$16</c:f>
              <c:strCache>
                <c:ptCount val="1"/>
                <c:pt idx="0">
                  <c:v>Asset 2</c:v>
                </c:pt>
              </c:strCache>
            </c:strRef>
          </c:tx>
          <c:spPr>
            <a:ln w="38100" cap="flat" cmpd="dbl" algn="ctr">
              <a:solidFill>
                <a:schemeClr val="accent2"/>
              </a:solidFill>
              <a:miter lim="800000"/>
            </a:ln>
            <a:effectLst/>
          </c:spPr>
          <c:marker>
            <c:symbol val="none"/>
          </c:marker>
          <c:val>
            <c:numRef>
              <c:f>'3.3 Net avoided outage costs'!$I$27:$I$45</c:f>
              <c:numCache>
                <c:formatCode>General</c:formatCode>
                <c:ptCount val="19"/>
                <c:pt idx="0">
                  <c:v>1.3708017043195797E-3</c:v>
                </c:pt>
                <c:pt idx="1">
                  <c:v>4.6189294134239001E-3</c:v>
                </c:pt>
                <c:pt idx="2">
                  <c:v>1.0913942911613961E-2</c:v>
                </c:pt>
                <c:pt idx="3">
                  <c:v>2.1205405989404014E-2</c:v>
                </c:pt>
                <c:pt idx="4">
                  <c:v>3.6359555698713741E-2</c:v>
                </c:pt>
                <c:pt idx="5">
                  <c:v>5.7117345958941912E-2</c:v>
                </c:pt>
                <c:pt idx="6">
                  <c:v>8.4048162829827189E-2</c:v>
                </c:pt>
                <c:pt idx="7">
                  <c:v>0.11750309741540454</c:v>
                </c:pt>
                <c:pt idx="8">
                  <c:v>0.15757257597808305</c:v>
                </c:pt>
                <c:pt idx="9">
                  <c:v>0.20405372884456718</c:v>
                </c:pt>
                <c:pt idx="10">
                  <c:v>0.25643292079409363</c:v>
                </c:pt>
                <c:pt idx="11">
                  <c:v>0.31388819098895338</c:v>
                </c:pt>
                <c:pt idx="12">
                  <c:v>0.3753148677449214</c:v>
                </c:pt>
                <c:pt idx="13">
                  <c:v>0.4393753686302293</c:v>
                </c:pt>
                <c:pt idx="14">
                  <c:v>0.50457136488616383</c:v>
                </c:pt>
                <c:pt idx="15">
                  <c:v>0.56933343734829267</c:v>
                </c:pt>
                <c:pt idx="16">
                  <c:v>0.63212055882855767</c:v>
                </c:pt>
                <c:pt idx="17">
                  <c:v>0.69151973042847392</c:v>
                </c:pt>
                <c:pt idx="18">
                  <c:v>0.7463353379755312</c:v>
                </c:pt>
              </c:numCache>
            </c:numRef>
          </c:val>
          <c:smooth val="0"/>
          <c:extLst>
            <c:ext xmlns:c16="http://schemas.microsoft.com/office/drawing/2014/chart" uri="{C3380CC4-5D6E-409C-BE32-E72D297353CC}">
              <c16:uniqueId val="{00000001-BF5E-48E4-968B-F2F4D1B8875F}"/>
            </c:ext>
          </c:extLst>
        </c:ser>
        <c:ser>
          <c:idx val="2"/>
          <c:order val="2"/>
          <c:tx>
            <c:strRef>
              <c:f>'3.3 Net avoided outage costs'!$O$16:$Q$16</c:f>
              <c:strCache>
                <c:ptCount val="1"/>
                <c:pt idx="0">
                  <c:v>Asset 3</c:v>
                </c:pt>
              </c:strCache>
            </c:strRef>
          </c:tx>
          <c:spPr>
            <a:ln w="38100" cap="flat" cmpd="dbl" algn="ctr">
              <a:solidFill>
                <a:schemeClr val="accent3"/>
              </a:solidFill>
              <a:miter lim="800000"/>
            </a:ln>
            <a:effectLst/>
          </c:spPr>
          <c:marker>
            <c:symbol val="none"/>
          </c:marker>
          <c:val>
            <c:numRef>
              <c:f>'3.3 Net avoided outage costs'!$P$27:$P$45</c:f>
              <c:numCache>
                <c:formatCode>General</c:formatCode>
                <c:ptCount val="19"/>
                <c:pt idx="0">
                  <c:v>4.5506256324878702E-4</c:v>
                </c:pt>
                <c:pt idx="1">
                  <c:v>1.5350063784858037E-3</c:v>
                </c:pt>
                <c:pt idx="2">
                  <c:v>3.6347074859417461E-3</c:v>
                </c:pt>
                <c:pt idx="3">
                  <c:v>7.0867406521656351E-3</c:v>
                </c:pt>
                <c:pt idx="4">
                  <c:v>1.2214278335061612E-2</c:v>
                </c:pt>
                <c:pt idx="5">
                  <c:v>1.9326058305879634E-2</c:v>
                </c:pt>
                <c:pt idx="6">
                  <c:v>2.8710425982246379E-2</c:v>
                </c:pt>
                <c:pt idx="7">
                  <c:v>4.0628612906939421E-2</c:v>
                </c:pt>
                <c:pt idx="8">
                  <c:v>5.5307467585817061E-2</c:v>
                </c:pt>
                <c:pt idx="9">
                  <c:v>7.2931911575052188E-2</c:v>
                </c:pt>
                <c:pt idx="10">
                  <c:v>9.3637448075796437E-2</c:v>
                </c:pt>
                <c:pt idx="11">
                  <c:v>0.11750309741540454</c:v>
                </c:pt>
                <c:pt idx="12">
                  <c:v>0.14454516824467589</c:v>
                </c:pt>
                <c:pt idx="13">
                  <c:v>0.17471228952459517</c:v>
                </c:pt>
                <c:pt idx="14">
                  <c:v>0.20788212125805927</c:v>
                </c:pt>
                <c:pt idx="15">
                  <c:v>0.24386012724892558</c:v>
                </c:pt>
                <c:pt idx="16">
                  <c:v>0.28238072833751138</c:v>
                </c:pt>
                <c:pt idx="17">
                  <c:v>0.32311105915353733</c:v>
                </c:pt>
                <c:pt idx="18">
                  <c:v>0.3656574277154313</c:v>
                </c:pt>
              </c:numCache>
            </c:numRef>
          </c:val>
          <c:smooth val="0"/>
          <c:extLst>
            <c:ext xmlns:c16="http://schemas.microsoft.com/office/drawing/2014/chart" uri="{C3380CC4-5D6E-409C-BE32-E72D297353CC}">
              <c16:uniqueId val="{00000002-BF5E-48E4-968B-F2F4D1B8875F}"/>
            </c:ext>
          </c:extLst>
        </c:ser>
        <c:dLbls>
          <c:showLegendKey val="0"/>
          <c:showVal val="0"/>
          <c:showCatName val="0"/>
          <c:showSerName val="0"/>
          <c:showPercent val="0"/>
          <c:showBubbleSize val="0"/>
        </c:dLbls>
        <c:smooth val="0"/>
        <c:axId val="1844915120"/>
        <c:axId val="1558312464"/>
      </c:lineChart>
      <c:catAx>
        <c:axId val="184491512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8312464"/>
        <c:crosses val="autoZero"/>
        <c:auto val="1"/>
        <c:lblAlgn val="ctr"/>
        <c:lblOffset val="100"/>
        <c:noMultiLvlLbl val="0"/>
      </c:catAx>
      <c:valAx>
        <c:axId val="1558312464"/>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915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Customer</a:t>
            </a:r>
            <a:r>
              <a:rPr lang="en-US" baseline="0"/>
              <a:t> Interuptions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Asset 1</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'3.3 Net avoided outage costs'!$B$27:$B$45</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'3.3 Net avoided outage costs'!$D$27:$D$45</c:f>
              <c:numCache>
                <c:formatCode>General</c:formatCode>
                <c:ptCount val="19"/>
                <c:pt idx="0">
                  <c:v>0.39840425814696712</c:v>
                </c:pt>
                <c:pt idx="1">
                  <c:v>1.3319379237831608</c:v>
                </c:pt>
                <c:pt idx="2">
                  <c:v>3.0997500234635265</c:v>
                </c:pt>
                <c:pt idx="3">
                  <c:v>5.8751548707702277</c:v>
                </c:pt>
                <c:pt idx="4">
                  <c:v>9.7132349063260186</c:v>
                </c:pt>
                <c:pt idx="5">
                  <c:v>14.518089421989567</c:v>
                </c:pt>
                <c:pt idx="6">
                  <c:v>20.03521060772308</c:v>
                </c:pt>
                <c:pt idx="7">
                  <c:v>25.880442994243701</c:v>
                </c:pt>
                <c:pt idx="8">
                  <c:v>31.606027941427882</c:v>
                </c:pt>
                <c:pt idx="9">
                  <c:v>36.78935418834569</c:v>
                </c:pt>
                <c:pt idx="10">
                  <c:v>41.118033320243249</c:v>
                </c:pt>
                <c:pt idx="11">
                  <c:v>44.443196652468906</c:v>
                </c:pt>
                <c:pt idx="12">
                  <c:v>46.784370930984558</c:v>
                </c:pt>
                <c:pt idx="13">
                  <c:v>48.289094084416703</c:v>
                </c:pt>
                <c:pt idx="14">
                  <c:v>49.168045056913819</c:v>
                </c:pt>
                <c:pt idx="15">
                  <c:v>49.632479799528994</c:v>
                </c:pt>
                <c:pt idx="16">
                  <c:v>49.853389665074921</c:v>
                </c:pt>
                <c:pt idx="17">
                  <c:v>49.947501831440391</c:v>
                </c:pt>
                <c:pt idx="18">
                  <c:v>49.983226868604874</c:v>
                </c:pt>
              </c:numCache>
            </c:numRef>
          </c:val>
          <c:smooth val="0"/>
          <c:extLst>
            <c:ext xmlns:c16="http://schemas.microsoft.com/office/drawing/2014/chart" uri="{C3380CC4-5D6E-409C-BE32-E72D297353CC}">
              <c16:uniqueId val="{00000000-C0F3-435A-B8E0-2A64E8222EAE}"/>
            </c:ext>
          </c:extLst>
        </c:ser>
        <c:ser>
          <c:idx val="0"/>
          <c:order val="1"/>
          <c:tx>
            <c:strRef>
              <c:f>'3.3 Net avoided outage costs'!$H$16:$J$16</c:f>
              <c:strCache>
                <c:ptCount val="1"/>
                <c:pt idx="0">
                  <c:v>Asset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'3.3 Net avoided outage costs'!$J$27:$J$45</c:f>
              <c:numCache>
                <c:formatCode>General</c:formatCode>
                <c:ptCount val="19"/>
                <c:pt idx="0">
                  <c:v>6.8540085215978985E-2</c:v>
                </c:pt>
                <c:pt idx="1">
                  <c:v>0.230946470671195</c:v>
                </c:pt>
                <c:pt idx="2">
                  <c:v>0.54569714558069804</c:v>
                </c:pt>
                <c:pt idx="3">
                  <c:v>1.0602702994702007</c:v>
                </c:pt>
                <c:pt idx="4">
                  <c:v>1.8179777849356871</c:v>
                </c:pt>
                <c:pt idx="5">
                  <c:v>2.8558672979470954</c:v>
                </c:pt>
                <c:pt idx="6">
                  <c:v>4.2024081414913592</c:v>
                </c:pt>
                <c:pt idx="7">
                  <c:v>5.8751548707702277</c:v>
                </c:pt>
                <c:pt idx="8">
                  <c:v>7.8786287989041526</c:v>
                </c:pt>
                <c:pt idx="9">
                  <c:v>10.202686442228359</c:v>
                </c:pt>
                <c:pt idx="10">
                  <c:v>12.821646039704682</c:v>
                </c:pt>
                <c:pt idx="11">
                  <c:v>15.694409549447668</c:v>
                </c:pt>
                <c:pt idx="12">
                  <c:v>18.765743387246069</c:v>
                </c:pt>
                <c:pt idx="13">
                  <c:v>21.968768431511464</c:v>
                </c:pt>
                <c:pt idx="14">
                  <c:v>25.228568244308192</c:v>
                </c:pt>
                <c:pt idx="15">
                  <c:v>28.466671867414632</c:v>
                </c:pt>
                <c:pt idx="16">
                  <c:v>31.606027941427882</c:v>
                </c:pt>
                <c:pt idx="17">
                  <c:v>34.575986521423694</c:v>
                </c:pt>
                <c:pt idx="18">
                  <c:v>37.316766898776557</c:v>
                </c:pt>
              </c:numCache>
            </c:numRef>
          </c:val>
          <c:smooth val="0"/>
          <c:extLst>
            <c:ext xmlns:c16="http://schemas.microsoft.com/office/drawing/2014/chart" uri="{C3380CC4-5D6E-409C-BE32-E72D297353CC}">
              <c16:uniqueId val="{00000001-C0F3-435A-B8E0-2A64E8222EAE}"/>
            </c:ext>
          </c:extLst>
        </c:ser>
        <c:ser>
          <c:idx val="2"/>
          <c:order val="2"/>
          <c:tx>
            <c:strRef>
              <c:f>'3.3 Net avoided outage costs'!$O$16:$Q$16</c:f>
              <c:strCache>
                <c:ptCount val="1"/>
                <c:pt idx="0">
                  <c:v>Asset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'3.3 Net avoided outage costs'!$Q$27:$Q$45</c:f>
              <c:numCache>
                <c:formatCode>General</c:formatCode>
                <c:ptCount val="19"/>
                <c:pt idx="0">
                  <c:v>2.2753128162439351E-2</c:v>
                </c:pt>
                <c:pt idx="1">
                  <c:v>7.6750318924290184E-2</c:v>
                </c:pt>
                <c:pt idx="2">
                  <c:v>0.1817353742970873</c:v>
                </c:pt>
                <c:pt idx="3">
                  <c:v>0.35433703260828175</c:v>
                </c:pt>
                <c:pt idx="4">
                  <c:v>0.61071391675308062</c:v>
                </c:pt>
                <c:pt idx="5">
                  <c:v>0.96630291529398171</c:v>
                </c:pt>
                <c:pt idx="6">
                  <c:v>1.435521299112319</c:v>
                </c:pt>
                <c:pt idx="7">
                  <c:v>2.0314306453469708</c:v>
                </c:pt>
                <c:pt idx="8">
                  <c:v>2.7653733792908533</c:v>
                </c:pt>
                <c:pt idx="9">
                  <c:v>3.6465955787526094</c:v>
                </c:pt>
                <c:pt idx="10">
                  <c:v>4.6818724037898214</c:v>
                </c:pt>
                <c:pt idx="11">
                  <c:v>5.8751548707702277</c:v>
                </c:pt>
                <c:pt idx="12">
                  <c:v>7.2272584122337946</c:v>
                </c:pt>
                <c:pt idx="13">
                  <c:v>8.7356144762297578</c:v>
                </c:pt>
                <c:pt idx="14">
                  <c:v>10.394106062902964</c:v>
                </c:pt>
                <c:pt idx="15">
                  <c:v>12.19300636244628</c:v>
                </c:pt>
                <c:pt idx="16">
                  <c:v>14.119036416875568</c:v>
                </c:pt>
                <c:pt idx="17">
                  <c:v>16.155552957676868</c:v>
                </c:pt>
                <c:pt idx="18">
                  <c:v>18.282871385771564</c:v>
                </c:pt>
              </c:numCache>
            </c:numRef>
          </c:val>
          <c:smooth val="0"/>
          <c:extLst>
            <c:ext xmlns:c16="http://schemas.microsoft.com/office/drawing/2014/chart" uri="{C3380CC4-5D6E-409C-BE32-E72D297353CC}">
              <c16:uniqueId val="{00000002-C0F3-435A-B8E0-2A64E8222EAE}"/>
            </c:ext>
          </c:extLst>
        </c:ser>
        <c:dLbls>
          <c:showLegendKey val="0"/>
          <c:showVal val="0"/>
          <c:showCatName val="0"/>
          <c:showSerName val="0"/>
          <c:showPercent val="0"/>
          <c:showBubbleSize val="0"/>
        </c:dLbls>
        <c:marker val="1"/>
        <c:smooth val="0"/>
        <c:axId val="702312319"/>
        <c:axId val="676829551"/>
      </c:lineChart>
      <c:catAx>
        <c:axId val="70231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829551"/>
        <c:crosses val="autoZero"/>
        <c:auto val="1"/>
        <c:lblAlgn val="ctr"/>
        <c:lblOffset val="100"/>
        <c:noMultiLvlLbl val="0"/>
      </c:catAx>
      <c:valAx>
        <c:axId val="676829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312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Customer</a:t>
            </a:r>
            <a:r>
              <a:rPr lang="en-US" baseline="0"/>
              <a:t> Minutes Lost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'3.3 Net avoided outage costs'!$B$16:$D$16</c:f>
              <c:strCache>
                <c:ptCount val="1"/>
                <c:pt idx="0">
                  <c:v>Asset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'3.3 Net avoided outage costs'!$B$27:$B$45</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'3.3 Net avoided outage costs'!$E$27:$E$45</c:f>
              <c:numCache>
                <c:formatCode>General</c:formatCode>
                <c:ptCount val="19"/>
                <c:pt idx="0">
                  <c:v>57.768617431310233</c:v>
                </c:pt>
                <c:pt idx="1">
                  <c:v>193.1309989485583</c:v>
                </c:pt>
                <c:pt idx="2">
                  <c:v>449.46375340221135</c:v>
                </c:pt>
                <c:pt idx="3">
                  <c:v>851.89745626168292</c:v>
                </c:pt>
                <c:pt idx="4">
                  <c:v>1408.4190614172726</c:v>
                </c:pt>
                <c:pt idx="5">
                  <c:v>2105.1229661884872</c:v>
                </c:pt>
                <c:pt idx="6">
                  <c:v>2905.1055381198466</c:v>
                </c:pt>
                <c:pt idx="7">
                  <c:v>3752.6642341653369</c:v>
                </c:pt>
                <c:pt idx="8">
                  <c:v>4582.8740515070431</c:v>
                </c:pt>
                <c:pt idx="9">
                  <c:v>5334.456357310125</c:v>
                </c:pt>
                <c:pt idx="10">
                  <c:v>5962.1148314352713</c:v>
                </c:pt>
                <c:pt idx="11">
                  <c:v>6444.263514607992</c:v>
                </c:pt>
                <c:pt idx="12">
                  <c:v>6783.7337849927608</c:v>
                </c:pt>
                <c:pt idx="13">
                  <c:v>7001.9186422404218</c:v>
                </c:pt>
                <c:pt idx="14">
                  <c:v>7129.3665332525034</c:v>
                </c:pt>
                <c:pt idx="15">
                  <c:v>7196.7095709317045</c:v>
                </c:pt>
                <c:pt idx="16">
                  <c:v>7228.7415014358639</c:v>
                </c:pt>
                <c:pt idx="17">
                  <c:v>7242.3877655588567</c:v>
                </c:pt>
                <c:pt idx="18">
                  <c:v>7247.5678959477063</c:v>
                </c:pt>
              </c:numCache>
            </c:numRef>
          </c:val>
          <c:smooth val="0"/>
          <c:extLst>
            <c:ext xmlns:c16="http://schemas.microsoft.com/office/drawing/2014/chart" uri="{C3380CC4-5D6E-409C-BE32-E72D297353CC}">
              <c16:uniqueId val="{00000000-257C-44F3-9BB6-6F2BC3CDF52E}"/>
            </c:ext>
          </c:extLst>
        </c:ser>
        <c:ser>
          <c:idx val="0"/>
          <c:order val="1"/>
          <c:tx>
            <c:strRef>
              <c:f>'3.3 Net avoided outage costs'!$H$16:$J$16</c:f>
              <c:strCache>
                <c:ptCount val="1"/>
                <c:pt idx="0">
                  <c:v>Asset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'3.3 Net avoided outage costs'!$K$27:$K$45</c:f>
              <c:numCache>
                <c:formatCode>General</c:formatCode>
                <c:ptCount val="19"/>
                <c:pt idx="0">
                  <c:v>9.9383123563169526</c:v>
                </c:pt>
                <c:pt idx="1">
                  <c:v>33.487238247323276</c:v>
                </c:pt>
                <c:pt idx="2">
                  <c:v>79.126086109201211</c:v>
                </c:pt>
                <c:pt idx="3">
                  <c:v>153.7391934231791</c:v>
                </c:pt>
                <c:pt idx="4">
                  <c:v>263.6067788156746</c:v>
                </c:pt>
                <c:pt idx="5">
                  <c:v>414.10075820232885</c:v>
                </c:pt>
                <c:pt idx="6">
                  <c:v>609.34918051624709</c:v>
                </c:pt>
                <c:pt idx="7">
                  <c:v>851.89745626168292</c:v>
                </c:pt>
                <c:pt idx="8">
                  <c:v>1142.401175841102</c:v>
                </c:pt>
                <c:pt idx="9">
                  <c:v>1479.3895341231121</c:v>
                </c:pt>
                <c:pt idx="10">
                  <c:v>1859.1386757571788</c:v>
                </c:pt>
                <c:pt idx="11">
                  <c:v>2275.6893846699118</c:v>
                </c:pt>
                <c:pt idx="12">
                  <c:v>2721.0327911506802</c:v>
                </c:pt>
                <c:pt idx="13">
                  <c:v>3185.4714225691623</c:v>
                </c:pt>
                <c:pt idx="14">
                  <c:v>3658.1423954246879</c:v>
                </c:pt>
                <c:pt idx="15">
                  <c:v>4127.6674207751221</c:v>
                </c:pt>
                <c:pt idx="16">
                  <c:v>4582.8740515070431</c:v>
                </c:pt>
                <c:pt idx="17">
                  <c:v>5013.5180456064363</c:v>
                </c:pt>
                <c:pt idx="18">
                  <c:v>5410.9312003226014</c:v>
                </c:pt>
              </c:numCache>
            </c:numRef>
          </c:val>
          <c:smooth val="0"/>
          <c:extLst>
            <c:ext xmlns:c16="http://schemas.microsoft.com/office/drawing/2014/chart" uri="{C3380CC4-5D6E-409C-BE32-E72D297353CC}">
              <c16:uniqueId val="{00000001-257C-44F3-9BB6-6F2BC3CDF52E}"/>
            </c:ext>
          </c:extLst>
        </c:ser>
        <c:ser>
          <c:idx val="2"/>
          <c:order val="2"/>
          <c:tx>
            <c:strRef>
              <c:f>'3.3 Net avoided outage costs'!$O$16:$Q$16</c:f>
              <c:strCache>
                <c:ptCount val="1"/>
                <c:pt idx="0">
                  <c:v>Asset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'3.3 Net avoided outage costs'!$R$27:$R$45</c:f>
              <c:numCache>
                <c:formatCode>General</c:formatCode>
                <c:ptCount val="19"/>
                <c:pt idx="0">
                  <c:v>3.2992035835537061</c:v>
                </c:pt>
                <c:pt idx="1">
                  <c:v>11.128796244022077</c:v>
                </c:pt>
                <c:pt idx="2">
                  <c:v>26.351629273077659</c:v>
                </c:pt>
                <c:pt idx="3">
                  <c:v>51.378869728200854</c:v>
                </c:pt>
                <c:pt idx="4">
                  <c:v>88.553517929196687</c:v>
                </c:pt>
                <c:pt idx="5">
                  <c:v>140.11392271762736</c:v>
                </c:pt>
                <c:pt idx="6">
                  <c:v>208.15058837128626</c:v>
                </c:pt>
                <c:pt idx="7">
                  <c:v>294.5574435753108</c:v>
                </c:pt>
                <c:pt idx="8">
                  <c:v>400.97913999717366</c:v>
                </c:pt>
                <c:pt idx="9">
                  <c:v>528.75635891912839</c:v>
                </c:pt>
                <c:pt idx="10">
                  <c:v>678.87149854952418</c:v>
                </c:pt>
                <c:pt idx="11">
                  <c:v>851.89745626168292</c:v>
                </c:pt>
                <c:pt idx="12">
                  <c:v>1047.9524697739002</c:v>
                </c:pt>
                <c:pt idx="13">
                  <c:v>1266.6640990533149</c:v>
                </c:pt>
                <c:pt idx="14">
                  <c:v>1507.1453791209296</c:v>
                </c:pt>
                <c:pt idx="15">
                  <c:v>1767.9859225547104</c:v>
                </c:pt>
                <c:pt idx="16">
                  <c:v>2047.2602804469575</c:v>
                </c:pt>
                <c:pt idx="17">
                  <c:v>2342.5551788631456</c:v>
                </c:pt>
                <c:pt idx="18">
                  <c:v>2651.0163509368767</c:v>
                </c:pt>
              </c:numCache>
            </c:numRef>
          </c:val>
          <c:smooth val="0"/>
          <c:extLst>
            <c:ext xmlns:c16="http://schemas.microsoft.com/office/drawing/2014/chart" uri="{C3380CC4-5D6E-409C-BE32-E72D297353CC}">
              <c16:uniqueId val="{00000002-257C-44F3-9BB6-6F2BC3CDF52E}"/>
            </c:ext>
          </c:extLst>
        </c:ser>
        <c:dLbls>
          <c:showLegendKey val="0"/>
          <c:showVal val="0"/>
          <c:showCatName val="0"/>
          <c:showSerName val="0"/>
          <c:showPercent val="0"/>
          <c:showBubbleSize val="0"/>
        </c:dLbls>
        <c:marker val="1"/>
        <c:smooth val="0"/>
        <c:axId val="702312319"/>
        <c:axId val="676829551"/>
      </c:lineChart>
      <c:catAx>
        <c:axId val="70231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829551"/>
        <c:crosses val="autoZero"/>
        <c:auto val="1"/>
        <c:lblAlgn val="ctr"/>
        <c:lblOffset val="100"/>
        <c:noMultiLvlLbl val="0"/>
      </c:catAx>
      <c:valAx>
        <c:axId val="676829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312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CI</a:t>
            </a:r>
            <a:r>
              <a:rPr lang="en-US" baseline="0"/>
              <a:t> CML Cost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'3.3 Net avoided outage costs'!$B$16:$D$16</c:f>
              <c:strCache>
                <c:ptCount val="1"/>
                <c:pt idx="0">
                  <c:v>Asset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'3.3 Net avoided outage costs'!$B$27:$B$45</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'3.3 Net avoided outage costs'!$F$27:$F$45</c:f>
              <c:numCache>
                <c:formatCode>"£"#,##0.00</c:formatCode>
                <c:ptCount val="19"/>
                <c:pt idx="0">
                  <c:v>27.912541213930453</c:v>
                </c:pt>
                <c:pt idx="1">
                  <c:v>93.316703905006818</c:v>
                </c:pt>
                <c:pt idx="2">
                  <c:v>217.17112333395431</c:v>
                </c:pt>
                <c:pt idx="3">
                  <c:v>411.61834773388352</c:v>
                </c:pt>
                <c:pt idx="4">
                  <c:v>680.51749974870791</c:v>
                </c:pt>
                <c:pt idx="5">
                  <c:v>1017.1496941915816</c:v>
                </c:pt>
                <c:pt idx="6">
                  <c:v>1403.6838974034049</c:v>
                </c:pt>
                <c:pt idx="7">
                  <c:v>1813.2058504382835</c:v>
                </c:pt>
                <c:pt idx="8">
                  <c:v>2214.3452020994901</c:v>
                </c:pt>
                <c:pt idx="9">
                  <c:v>2577.4934479673084</c:v>
                </c:pt>
                <c:pt idx="10">
                  <c:v>2880.7643899821915</c:v>
                </c:pt>
                <c:pt idx="11">
                  <c:v>3113.7281614676886</c:v>
                </c:pt>
                <c:pt idx="12">
                  <c:v>3277.7528228556089</c:v>
                </c:pt>
                <c:pt idx="13">
                  <c:v>3383.1750069233221</c:v>
                </c:pt>
                <c:pt idx="14">
                  <c:v>3444.7550597042832</c:v>
                </c:pt>
                <c:pt idx="15">
                  <c:v>3477.293752826497</c:v>
                </c:pt>
                <c:pt idx="16">
                  <c:v>3492.7708859156214</c:v>
                </c:pt>
                <c:pt idx="17">
                  <c:v>3499.3644643442922</c:v>
                </c:pt>
                <c:pt idx="18">
                  <c:v>3501.8673908362448</c:v>
                </c:pt>
              </c:numCache>
            </c:numRef>
          </c:val>
          <c:smooth val="0"/>
          <c:extLst>
            <c:ext xmlns:c16="http://schemas.microsoft.com/office/drawing/2014/chart" uri="{C3380CC4-5D6E-409C-BE32-E72D297353CC}">
              <c16:uniqueId val="{00000000-1718-4046-A3C3-0B921597F438}"/>
            </c:ext>
          </c:extLst>
        </c:ser>
        <c:ser>
          <c:idx val="0"/>
          <c:order val="1"/>
          <c:tx>
            <c:strRef>
              <c:f>'3.3 Net avoided outage costs'!$H$16:$J$16</c:f>
              <c:strCache>
                <c:ptCount val="1"/>
                <c:pt idx="0">
                  <c:v>Asset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'3.3 Net avoided outage costs'!$L$27:$L$45</c:f>
              <c:numCache>
                <c:formatCode>"£"#,##0.00</c:formatCode>
                <c:ptCount val="19"/>
                <c:pt idx="0">
                  <c:v>4.8019766713727901</c:v>
                </c:pt>
                <c:pt idx="1">
                  <c:v>16.180306181475444</c:v>
                </c:pt>
                <c:pt idx="2">
                  <c:v>38.232006196898105</c:v>
                </c:pt>
                <c:pt idx="3">
                  <c:v>74.283439061414697</c:v>
                </c:pt>
                <c:pt idx="4">
                  <c:v>127.3690700095587</c:v>
                </c:pt>
                <c:pt idx="5">
                  <c:v>200.08449213426493</c:v>
                </c:pt>
                <c:pt idx="6">
                  <c:v>294.42428901917947</c:v>
                </c:pt>
                <c:pt idx="7">
                  <c:v>411.61834773388352</c:v>
                </c:pt>
                <c:pt idx="8">
                  <c:v>551.98343532148726</c:v>
                </c:pt>
                <c:pt idx="9">
                  <c:v>714.80889068824945</c:v>
                </c:pt>
                <c:pt idx="10">
                  <c:v>898.29542781057626</c:v>
                </c:pt>
                <c:pt idx="11">
                  <c:v>1099.5636829154118</c:v>
                </c:pt>
                <c:pt idx="12">
                  <c:v>1314.7439441104684</c:v>
                </c:pt>
                <c:pt idx="13">
                  <c:v>1539.1506032489579</c:v>
                </c:pt>
                <c:pt idx="14">
                  <c:v>1767.5349509641533</c:v>
                </c:pt>
                <c:pt idx="15">
                  <c:v>1994.3992451745694</c:v>
                </c:pt>
                <c:pt idx="16">
                  <c:v>2214.3452020994901</c:v>
                </c:pt>
                <c:pt idx="17">
                  <c:v>2422.4230265017054</c:v>
                </c:pt>
                <c:pt idx="18">
                  <c:v>2614.444431084617</c:v>
                </c:pt>
              </c:numCache>
            </c:numRef>
          </c:val>
          <c:smooth val="0"/>
          <c:extLst>
            <c:ext xmlns:c16="http://schemas.microsoft.com/office/drawing/2014/chart" uri="{C3380CC4-5D6E-409C-BE32-E72D297353CC}">
              <c16:uniqueId val="{00000001-1718-4046-A3C3-0B921597F438}"/>
            </c:ext>
          </c:extLst>
        </c:ser>
        <c:ser>
          <c:idx val="2"/>
          <c:order val="2"/>
          <c:tx>
            <c:strRef>
              <c:f>'3.3 Net avoided outage costs'!$O$16:$Q$16</c:f>
              <c:strCache>
                <c:ptCount val="1"/>
                <c:pt idx="0">
                  <c:v>Asset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'3.3 Net avoided outage costs'!$S$27:$S$45</c:f>
              <c:numCache>
                <c:formatCode>"£"#,##0.00</c:formatCode>
                <c:ptCount val="19"/>
                <c:pt idx="0">
                  <c:v>1.5941035131849652</c:v>
                </c:pt>
                <c:pt idx="1">
                  <c:v>5.3771926287150418</c:v>
                </c:pt>
                <c:pt idx="2">
                  <c:v>12.732534909868516</c:v>
                </c:pt>
                <c:pt idx="3">
                  <c:v>24.825153908500649</c:v>
                </c:pt>
                <c:pt idx="4">
                  <c:v>42.787136489397035</c:v>
                </c:pt>
                <c:pt idx="5">
                  <c:v>67.700004196076492</c:v>
                </c:pt>
                <c:pt idx="6">
                  <c:v>100.57384329001459</c:v>
                </c:pt>
                <c:pt idx="7">
                  <c:v>142.32375897591874</c:v>
                </c:pt>
                <c:pt idx="8">
                  <c:v>193.74441121783394</c:v>
                </c:pt>
                <c:pt idx="9">
                  <c:v>255.48358809187499</c:v>
                </c:pt>
                <c:pt idx="10">
                  <c:v>328.01596307472062</c:v>
                </c:pt>
                <c:pt idx="11">
                  <c:v>411.61834773388352</c:v>
                </c:pt>
                <c:pt idx="12">
                  <c:v>506.34787196673199</c:v>
                </c:pt>
                <c:pt idx="13">
                  <c:v>612.02458083874967</c:v>
                </c:pt>
                <c:pt idx="14">
                  <c:v>728.21991213688034</c:v>
                </c:pt>
                <c:pt idx="15">
                  <c:v>854.25239729227746</c:v>
                </c:pt>
                <c:pt idx="16">
                  <c:v>989.19170121330785</c:v>
                </c:pt>
                <c:pt idx="17">
                  <c:v>1131.8717823508896</c:v>
                </c:pt>
                <c:pt idx="18">
                  <c:v>1280.9135209495837</c:v>
                </c:pt>
              </c:numCache>
            </c:numRef>
          </c:val>
          <c:smooth val="0"/>
          <c:extLst>
            <c:ext xmlns:c16="http://schemas.microsoft.com/office/drawing/2014/chart" uri="{C3380CC4-5D6E-409C-BE32-E72D297353CC}">
              <c16:uniqueId val="{00000002-1718-4046-A3C3-0B921597F438}"/>
            </c:ext>
          </c:extLst>
        </c:ser>
        <c:dLbls>
          <c:showLegendKey val="0"/>
          <c:showVal val="0"/>
          <c:showCatName val="0"/>
          <c:showSerName val="0"/>
          <c:showPercent val="0"/>
          <c:showBubbleSize val="0"/>
        </c:dLbls>
        <c:marker val="1"/>
        <c:smooth val="0"/>
        <c:axId val="702312319"/>
        <c:axId val="676829551"/>
      </c:lineChart>
      <c:catAx>
        <c:axId val="70231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829551"/>
        <c:crosses val="autoZero"/>
        <c:auto val="1"/>
        <c:lblAlgn val="ctr"/>
        <c:lblOffset val="100"/>
        <c:noMultiLvlLbl val="0"/>
      </c:catAx>
      <c:valAx>
        <c:axId val="67682955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312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CA"/>
              <a:t>Probabity of Failure</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'5.1 Operating assets beyond cap'!$B$16:$D$16</c:f>
              <c:strCache>
                <c:ptCount val="1"/>
                <c:pt idx="0">
                  <c:v>Asset 1</c:v>
                </c:pt>
              </c:strCache>
            </c:strRef>
          </c:tx>
          <c:spPr>
            <a:ln w="38100" cap="flat" cmpd="dbl" algn="ctr">
              <a:solidFill>
                <a:schemeClr val="accent1"/>
              </a:solidFill>
              <a:miter lim="800000"/>
            </a:ln>
            <a:effectLst/>
          </c:spPr>
          <c:marker>
            <c:symbol val="none"/>
          </c:marker>
          <c:cat>
            <c:numRef>
              <c:f>'5.1 Operating assets beyond cap'!$B$27:$B$45</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'5.1 Operating assets beyond cap'!$C$27:$C$45</c:f>
              <c:numCache>
                <c:formatCode>General</c:formatCode>
                <c:ptCount val="19"/>
                <c:pt idx="0">
                  <c:v>7.9680851629393423E-3</c:v>
                </c:pt>
                <c:pt idx="1">
                  <c:v>2.6638758475663216E-2</c:v>
                </c:pt>
                <c:pt idx="2">
                  <c:v>6.1995000469270534E-2</c:v>
                </c:pt>
                <c:pt idx="3">
                  <c:v>0.11750309741540454</c:v>
                </c:pt>
                <c:pt idx="4">
                  <c:v>0.19426469812652036</c:v>
                </c:pt>
                <c:pt idx="5">
                  <c:v>0.29036178843979132</c:v>
                </c:pt>
                <c:pt idx="6">
                  <c:v>0.40070421215446161</c:v>
                </c:pt>
                <c:pt idx="7">
                  <c:v>0.51760885988487404</c:v>
                </c:pt>
                <c:pt idx="8">
                  <c:v>0.63212055882855767</c:v>
                </c:pt>
                <c:pt idx="9">
                  <c:v>0.73578708376691382</c:v>
                </c:pt>
                <c:pt idx="10">
                  <c:v>0.82236066640486505</c:v>
                </c:pt>
                <c:pt idx="11">
                  <c:v>0.88886393304937816</c:v>
                </c:pt>
                <c:pt idx="12">
                  <c:v>0.93568741861969118</c:v>
                </c:pt>
                <c:pt idx="13">
                  <c:v>0.96578188168833401</c:v>
                </c:pt>
                <c:pt idx="14">
                  <c:v>0.98336090113827634</c:v>
                </c:pt>
                <c:pt idx="15">
                  <c:v>0.99264959599057989</c:v>
                </c:pt>
                <c:pt idx="16">
                  <c:v>0.99706779330149842</c:v>
                </c:pt>
                <c:pt idx="17">
                  <c:v>0.99895003662880777</c:v>
                </c:pt>
                <c:pt idx="18">
                  <c:v>0.99966453737209748</c:v>
                </c:pt>
              </c:numCache>
            </c:numRef>
          </c:val>
          <c:smooth val="0"/>
          <c:extLst>
            <c:ext xmlns:c16="http://schemas.microsoft.com/office/drawing/2014/chart" uri="{C3380CC4-5D6E-409C-BE32-E72D297353CC}">
              <c16:uniqueId val="{00000000-E7BF-411D-B3F0-00F6ACE493F3}"/>
            </c:ext>
          </c:extLst>
        </c:ser>
        <c:ser>
          <c:idx val="1"/>
          <c:order val="1"/>
          <c:tx>
            <c:strRef>
              <c:f>'5.1 Operating assets beyond cap'!$H$16:$J$16</c:f>
              <c:strCache>
                <c:ptCount val="1"/>
                <c:pt idx="0">
                  <c:v>Asset 2</c:v>
                </c:pt>
              </c:strCache>
            </c:strRef>
          </c:tx>
          <c:spPr>
            <a:ln w="38100" cap="flat" cmpd="dbl" algn="ctr">
              <a:solidFill>
                <a:schemeClr val="accent2"/>
              </a:solidFill>
              <a:miter lim="800000"/>
            </a:ln>
            <a:effectLst/>
          </c:spPr>
          <c:marker>
            <c:symbol val="none"/>
          </c:marker>
          <c:val>
            <c:numRef>
              <c:f>'5.1 Operating assets beyond cap'!$I$27:$I$45</c:f>
              <c:numCache>
                <c:formatCode>General</c:formatCode>
                <c:ptCount val="19"/>
                <c:pt idx="0">
                  <c:v>3.6347074859417461E-3</c:v>
                </c:pt>
                <c:pt idx="1">
                  <c:v>1.2214278335061612E-2</c:v>
                </c:pt>
                <c:pt idx="2">
                  <c:v>2.8710425982246379E-2</c:v>
                </c:pt>
                <c:pt idx="3">
                  <c:v>5.5307467585817061E-2</c:v>
                </c:pt>
                <c:pt idx="4">
                  <c:v>9.3637448075796437E-2</c:v>
                </c:pt>
                <c:pt idx="5">
                  <c:v>0.14454516824467589</c:v>
                </c:pt>
                <c:pt idx="6">
                  <c:v>0.20788212125805927</c:v>
                </c:pt>
                <c:pt idx="7">
                  <c:v>0.28238072833751138</c:v>
                </c:pt>
                <c:pt idx="8">
                  <c:v>0.3656574277154313</c:v>
                </c:pt>
                <c:pt idx="9">
                  <c:v>0.45437651364235676</c:v>
                </c:pt>
                <c:pt idx="10">
                  <c:v>0.54457629901590421</c:v>
                </c:pt>
                <c:pt idx="11">
                  <c:v>0.63212055882855767</c:v>
                </c:pt>
                <c:pt idx="12">
                  <c:v>0.71320163645838952</c:v>
                </c:pt>
                <c:pt idx="13">
                  <c:v>0.78479962492518995</c:v>
                </c:pt>
                <c:pt idx="14">
                  <c:v>0.84500470100377312</c:v>
                </c:pt>
                <c:pt idx="15">
                  <c:v>0.89313952040530165</c:v>
                </c:pt>
                <c:pt idx="16">
                  <c:v>0.92966803596424274</c:v>
                </c:pt>
                <c:pt idx="17">
                  <c:v>0.95593037566091299</c:v>
                </c:pt>
                <c:pt idx="18">
                  <c:v>0.97378252445725488</c:v>
                </c:pt>
              </c:numCache>
            </c:numRef>
          </c:val>
          <c:smooth val="0"/>
          <c:extLst>
            <c:ext xmlns:c16="http://schemas.microsoft.com/office/drawing/2014/chart" uri="{C3380CC4-5D6E-409C-BE32-E72D297353CC}">
              <c16:uniqueId val="{00000001-E7BF-411D-B3F0-00F6ACE493F3}"/>
            </c:ext>
          </c:extLst>
        </c:ser>
        <c:ser>
          <c:idx val="2"/>
          <c:order val="2"/>
          <c:tx>
            <c:strRef>
              <c:f>'5.1 Operating assets beyond cap'!$O$16:$Q$16</c:f>
              <c:strCache>
                <c:ptCount val="1"/>
                <c:pt idx="0">
                  <c:v>Asset 3</c:v>
                </c:pt>
              </c:strCache>
            </c:strRef>
          </c:tx>
          <c:spPr>
            <a:ln w="38100" cap="flat" cmpd="dbl" algn="ctr">
              <a:solidFill>
                <a:schemeClr val="accent3"/>
              </a:solidFill>
              <a:miter lim="800000"/>
            </a:ln>
            <a:effectLst/>
          </c:spPr>
          <c:marker>
            <c:symbol val="none"/>
          </c:marker>
          <c:val>
            <c:numRef>
              <c:f>'5.1 Operating assets beyond cap'!$P$27:$P$45</c:f>
              <c:numCache>
                <c:formatCode>General</c:formatCode>
                <c:ptCount val="19"/>
                <c:pt idx="0">
                  <c:v>4.0876228335275933E-3</c:v>
                </c:pt>
                <c:pt idx="1">
                  <c:v>1.372888729577304E-2</c:v>
                </c:pt>
                <c:pt idx="2">
                  <c:v>3.2236945424731878E-2</c:v>
                </c:pt>
                <c:pt idx="3">
                  <c:v>6.1995000469270534E-2</c:v>
                </c:pt>
                <c:pt idx="4">
                  <c:v>0.10469604156373269</c:v>
                </c:pt>
                <c:pt idx="5">
                  <c:v>0.16105992551978299</c:v>
                </c:pt>
                <c:pt idx="6">
                  <c:v>0.23059977790193076</c:v>
                </c:pt>
                <c:pt idx="7">
                  <c:v>0.31150553495770683</c:v>
                </c:pt>
                <c:pt idx="8">
                  <c:v>0.40070421215446161</c:v>
                </c:pt>
                <c:pt idx="9">
                  <c:v>0.49412819925158646</c:v>
                </c:pt>
                <c:pt idx="10">
                  <c:v>0.58717685579567536</c:v>
                </c:pt>
                <c:pt idx="11">
                  <c:v>0.67530337690356745</c:v>
                </c:pt>
                <c:pt idx="12">
                  <c:v>0.75461527648300253</c:v>
                </c:pt>
                <c:pt idx="13">
                  <c:v>0.82236066640486505</c:v>
                </c:pt>
                <c:pt idx="14">
                  <c:v>0.87719431873913933</c:v>
                </c:pt>
                <c:pt idx="15">
                  <c:v>0.91917395287538517</c:v>
                </c:pt>
                <c:pt idx="16">
                  <c:v>0.94951020286279231</c:v>
                </c:pt>
                <c:pt idx="17">
                  <c:v>0.97015709034933773</c:v>
                </c:pt>
                <c:pt idx="18">
                  <c:v>0.98336090113827634</c:v>
                </c:pt>
              </c:numCache>
            </c:numRef>
          </c:val>
          <c:smooth val="0"/>
          <c:extLst>
            <c:ext xmlns:c16="http://schemas.microsoft.com/office/drawing/2014/chart" uri="{C3380CC4-5D6E-409C-BE32-E72D297353CC}">
              <c16:uniqueId val="{00000002-E7BF-411D-B3F0-00F6ACE493F3}"/>
            </c:ext>
          </c:extLst>
        </c:ser>
        <c:dLbls>
          <c:showLegendKey val="0"/>
          <c:showVal val="0"/>
          <c:showCatName val="0"/>
          <c:showSerName val="0"/>
          <c:showPercent val="0"/>
          <c:showBubbleSize val="0"/>
        </c:dLbls>
        <c:smooth val="0"/>
        <c:axId val="1844915120"/>
        <c:axId val="1558312464"/>
      </c:lineChart>
      <c:catAx>
        <c:axId val="184491512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8312464"/>
        <c:crosses val="autoZero"/>
        <c:auto val="1"/>
        <c:lblAlgn val="ctr"/>
        <c:lblOffset val="100"/>
        <c:noMultiLvlLbl val="0"/>
      </c:catAx>
      <c:valAx>
        <c:axId val="1558312464"/>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915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Customer</a:t>
            </a:r>
            <a:r>
              <a:rPr lang="en-US" baseline="0"/>
              <a:t> Interuptions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Asset 1</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'5.1 Operating assets beyond cap'!$B$27:$B$45</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'5.1 Operating assets beyond cap'!$D$27:$D$45</c:f>
              <c:numCache>
                <c:formatCode>General</c:formatCode>
                <c:ptCount val="19"/>
                <c:pt idx="0">
                  <c:v>0.39840425814696712</c:v>
                </c:pt>
                <c:pt idx="1">
                  <c:v>1.3319379237831608</c:v>
                </c:pt>
                <c:pt idx="2">
                  <c:v>3.0997500234635265</c:v>
                </c:pt>
                <c:pt idx="3">
                  <c:v>5.8751548707702277</c:v>
                </c:pt>
                <c:pt idx="4">
                  <c:v>9.7132349063260186</c:v>
                </c:pt>
                <c:pt idx="5">
                  <c:v>14.518089421989567</c:v>
                </c:pt>
                <c:pt idx="6">
                  <c:v>20.03521060772308</c:v>
                </c:pt>
                <c:pt idx="7">
                  <c:v>25.880442994243701</c:v>
                </c:pt>
                <c:pt idx="8">
                  <c:v>31.606027941427882</c:v>
                </c:pt>
                <c:pt idx="9">
                  <c:v>36.78935418834569</c:v>
                </c:pt>
                <c:pt idx="10">
                  <c:v>41.118033320243249</c:v>
                </c:pt>
                <c:pt idx="11">
                  <c:v>44.443196652468906</c:v>
                </c:pt>
                <c:pt idx="12">
                  <c:v>46.784370930984558</c:v>
                </c:pt>
                <c:pt idx="13">
                  <c:v>48.289094084416703</c:v>
                </c:pt>
                <c:pt idx="14">
                  <c:v>49.168045056913819</c:v>
                </c:pt>
                <c:pt idx="15">
                  <c:v>49.632479799528994</c:v>
                </c:pt>
                <c:pt idx="16">
                  <c:v>49.853389665074921</c:v>
                </c:pt>
                <c:pt idx="17">
                  <c:v>49.947501831440391</c:v>
                </c:pt>
                <c:pt idx="18">
                  <c:v>49.983226868604874</c:v>
                </c:pt>
              </c:numCache>
            </c:numRef>
          </c:val>
          <c:smooth val="0"/>
          <c:extLst>
            <c:ext xmlns:c16="http://schemas.microsoft.com/office/drawing/2014/chart" uri="{C3380CC4-5D6E-409C-BE32-E72D297353CC}">
              <c16:uniqueId val="{00000000-A7FA-4672-82AB-850E94D1F3E2}"/>
            </c:ext>
          </c:extLst>
        </c:ser>
        <c:ser>
          <c:idx val="0"/>
          <c:order val="1"/>
          <c:tx>
            <c:strRef>
              <c:f>'5.1 Operating assets beyond cap'!$H$16:$J$16</c:f>
              <c:strCache>
                <c:ptCount val="1"/>
                <c:pt idx="0">
                  <c:v>Asset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'5.1 Operating assets beyond cap'!$J$27:$J$45</c:f>
              <c:numCache>
                <c:formatCode>General</c:formatCode>
                <c:ptCount val="19"/>
                <c:pt idx="0">
                  <c:v>0.1817353742970873</c:v>
                </c:pt>
                <c:pt idx="1">
                  <c:v>0.61071391675308062</c:v>
                </c:pt>
                <c:pt idx="2">
                  <c:v>1.435521299112319</c:v>
                </c:pt>
                <c:pt idx="3">
                  <c:v>2.7653733792908533</c:v>
                </c:pt>
                <c:pt idx="4">
                  <c:v>4.6818724037898214</c:v>
                </c:pt>
                <c:pt idx="5">
                  <c:v>7.2272584122337946</c:v>
                </c:pt>
                <c:pt idx="6">
                  <c:v>10.394106062902964</c:v>
                </c:pt>
                <c:pt idx="7">
                  <c:v>14.119036416875568</c:v>
                </c:pt>
                <c:pt idx="8">
                  <c:v>18.282871385771564</c:v>
                </c:pt>
                <c:pt idx="9">
                  <c:v>22.718825682117838</c:v>
                </c:pt>
                <c:pt idx="10">
                  <c:v>27.228814950795211</c:v>
                </c:pt>
                <c:pt idx="11">
                  <c:v>31.606027941427882</c:v>
                </c:pt>
                <c:pt idx="12">
                  <c:v>35.660081822919473</c:v>
                </c:pt>
                <c:pt idx="13">
                  <c:v>39.239981246259497</c:v>
                </c:pt>
                <c:pt idx="14">
                  <c:v>42.250235050188657</c:v>
                </c:pt>
                <c:pt idx="15">
                  <c:v>44.656976020265084</c:v>
                </c:pt>
                <c:pt idx="16">
                  <c:v>46.483401798212135</c:v>
                </c:pt>
                <c:pt idx="17">
                  <c:v>47.796518783045649</c:v>
                </c:pt>
                <c:pt idx="18">
                  <c:v>48.689126222862747</c:v>
                </c:pt>
              </c:numCache>
            </c:numRef>
          </c:val>
          <c:smooth val="0"/>
          <c:extLst>
            <c:ext xmlns:c16="http://schemas.microsoft.com/office/drawing/2014/chart" uri="{C3380CC4-5D6E-409C-BE32-E72D297353CC}">
              <c16:uniqueId val="{00000001-A7FA-4672-82AB-850E94D1F3E2}"/>
            </c:ext>
          </c:extLst>
        </c:ser>
        <c:ser>
          <c:idx val="2"/>
          <c:order val="2"/>
          <c:tx>
            <c:strRef>
              <c:f>'5.1 Operating assets beyond cap'!$O$16:$Q$16</c:f>
              <c:strCache>
                <c:ptCount val="1"/>
                <c:pt idx="0">
                  <c:v>Asset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'5.1 Operating assets beyond cap'!$Q$27:$Q$45</c:f>
              <c:numCache>
                <c:formatCode>General</c:formatCode>
                <c:ptCount val="19"/>
                <c:pt idx="0">
                  <c:v>0.20438114167637966</c:v>
                </c:pt>
                <c:pt idx="1">
                  <c:v>0.68644436478865201</c:v>
                </c:pt>
                <c:pt idx="2">
                  <c:v>1.6118472712365939</c:v>
                </c:pt>
                <c:pt idx="3">
                  <c:v>3.0997500234635265</c:v>
                </c:pt>
                <c:pt idx="4">
                  <c:v>5.2348020781866342</c:v>
                </c:pt>
                <c:pt idx="5">
                  <c:v>8.05299627598915</c:v>
                </c:pt>
                <c:pt idx="6">
                  <c:v>11.529988895096539</c:v>
                </c:pt>
                <c:pt idx="7">
                  <c:v>15.575276747885342</c:v>
                </c:pt>
                <c:pt idx="8">
                  <c:v>20.03521060772308</c:v>
                </c:pt>
                <c:pt idx="9">
                  <c:v>24.706409962579322</c:v>
                </c:pt>
                <c:pt idx="10">
                  <c:v>29.358842789783768</c:v>
                </c:pt>
                <c:pt idx="11">
                  <c:v>33.765168845178373</c:v>
                </c:pt>
                <c:pt idx="12">
                  <c:v>37.730763824150124</c:v>
                </c:pt>
                <c:pt idx="13">
                  <c:v>41.118033320243249</c:v>
                </c:pt>
                <c:pt idx="14">
                  <c:v>43.859715936956967</c:v>
                </c:pt>
                <c:pt idx="15">
                  <c:v>45.958697643769256</c:v>
                </c:pt>
                <c:pt idx="16">
                  <c:v>47.475510143139616</c:v>
                </c:pt>
                <c:pt idx="17">
                  <c:v>48.507854517466889</c:v>
                </c:pt>
                <c:pt idx="18">
                  <c:v>49.168045056913819</c:v>
                </c:pt>
              </c:numCache>
            </c:numRef>
          </c:val>
          <c:smooth val="0"/>
          <c:extLst>
            <c:ext xmlns:c16="http://schemas.microsoft.com/office/drawing/2014/chart" uri="{C3380CC4-5D6E-409C-BE32-E72D297353CC}">
              <c16:uniqueId val="{00000002-A7FA-4672-82AB-850E94D1F3E2}"/>
            </c:ext>
          </c:extLst>
        </c:ser>
        <c:dLbls>
          <c:showLegendKey val="0"/>
          <c:showVal val="0"/>
          <c:showCatName val="0"/>
          <c:showSerName val="0"/>
          <c:showPercent val="0"/>
          <c:showBubbleSize val="0"/>
        </c:dLbls>
        <c:marker val="1"/>
        <c:smooth val="0"/>
        <c:axId val="702312319"/>
        <c:axId val="676829551"/>
      </c:lineChart>
      <c:catAx>
        <c:axId val="70231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829551"/>
        <c:crosses val="autoZero"/>
        <c:auto val="1"/>
        <c:lblAlgn val="ctr"/>
        <c:lblOffset val="100"/>
        <c:noMultiLvlLbl val="0"/>
      </c:catAx>
      <c:valAx>
        <c:axId val="676829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312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Customer</a:t>
            </a:r>
            <a:r>
              <a:rPr lang="en-US" baseline="0"/>
              <a:t> Minutes Lost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'5.1 Operating assets beyond cap'!$B$16:$D$16</c:f>
              <c:strCache>
                <c:ptCount val="1"/>
                <c:pt idx="0">
                  <c:v>Asset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'5.1 Operating assets beyond cap'!$B$27:$B$45</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'5.1 Operating assets beyond cap'!$E$27:$E$45</c:f>
              <c:numCache>
                <c:formatCode>General</c:formatCode>
                <c:ptCount val="19"/>
                <c:pt idx="0">
                  <c:v>57.768617431310233</c:v>
                </c:pt>
                <c:pt idx="1">
                  <c:v>193.1309989485583</c:v>
                </c:pt>
                <c:pt idx="2">
                  <c:v>449.46375340221135</c:v>
                </c:pt>
                <c:pt idx="3">
                  <c:v>851.89745626168292</c:v>
                </c:pt>
                <c:pt idx="4">
                  <c:v>1408.4190614172726</c:v>
                </c:pt>
                <c:pt idx="5">
                  <c:v>2105.1229661884872</c:v>
                </c:pt>
                <c:pt idx="6">
                  <c:v>2905.1055381198466</c:v>
                </c:pt>
                <c:pt idx="7">
                  <c:v>3752.6642341653369</c:v>
                </c:pt>
                <c:pt idx="8">
                  <c:v>4582.8740515070431</c:v>
                </c:pt>
                <c:pt idx="9">
                  <c:v>5334.456357310125</c:v>
                </c:pt>
                <c:pt idx="10">
                  <c:v>5962.1148314352713</c:v>
                </c:pt>
                <c:pt idx="11">
                  <c:v>6444.263514607992</c:v>
                </c:pt>
                <c:pt idx="12">
                  <c:v>6783.7337849927608</c:v>
                </c:pt>
                <c:pt idx="13">
                  <c:v>7001.9186422404218</c:v>
                </c:pt>
                <c:pt idx="14">
                  <c:v>7129.3665332525034</c:v>
                </c:pt>
                <c:pt idx="15">
                  <c:v>7196.7095709317045</c:v>
                </c:pt>
                <c:pt idx="16">
                  <c:v>7228.7415014358639</c:v>
                </c:pt>
                <c:pt idx="17">
                  <c:v>7242.3877655588567</c:v>
                </c:pt>
                <c:pt idx="18">
                  <c:v>7247.5678959477063</c:v>
                </c:pt>
              </c:numCache>
            </c:numRef>
          </c:val>
          <c:smooth val="0"/>
          <c:extLst>
            <c:ext xmlns:c16="http://schemas.microsoft.com/office/drawing/2014/chart" uri="{C3380CC4-5D6E-409C-BE32-E72D297353CC}">
              <c16:uniqueId val="{00000000-A9BD-40A0-A23F-747BD9434942}"/>
            </c:ext>
          </c:extLst>
        </c:ser>
        <c:ser>
          <c:idx val="0"/>
          <c:order val="1"/>
          <c:tx>
            <c:strRef>
              <c:f>'5.1 Operating assets beyond cap'!$H$16:$J$16</c:f>
              <c:strCache>
                <c:ptCount val="1"/>
                <c:pt idx="0">
                  <c:v>Asset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'5.1 Operating assets beyond cap'!$K$27:$K$45</c:f>
              <c:numCache>
                <c:formatCode>General</c:formatCode>
                <c:ptCount val="19"/>
                <c:pt idx="0">
                  <c:v>26.351629273077659</c:v>
                </c:pt>
                <c:pt idx="1">
                  <c:v>88.553517929196687</c:v>
                </c:pt>
                <c:pt idx="2">
                  <c:v>208.15058837128626</c:v>
                </c:pt>
                <c:pt idx="3">
                  <c:v>400.97913999717366</c:v>
                </c:pt>
                <c:pt idx="4">
                  <c:v>678.87149854952418</c:v>
                </c:pt>
                <c:pt idx="5">
                  <c:v>1047.9524697739002</c:v>
                </c:pt>
                <c:pt idx="6">
                  <c:v>1507.1453791209296</c:v>
                </c:pt>
                <c:pt idx="7">
                  <c:v>2047.2602804469575</c:v>
                </c:pt>
                <c:pt idx="8">
                  <c:v>2651.0163509368767</c:v>
                </c:pt>
                <c:pt idx="9">
                  <c:v>3294.2297239070867</c:v>
                </c:pt>
                <c:pt idx="10">
                  <c:v>3948.1781678653056</c:v>
                </c:pt>
                <c:pt idx="11">
                  <c:v>4582.8740515070431</c:v>
                </c:pt>
                <c:pt idx="12">
                  <c:v>5170.7118643233243</c:v>
                </c:pt>
                <c:pt idx="13">
                  <c:v>5689.7972807076276</c:v>
                </c:pt>
                <c:pt idx="14">
                  <c:v>6126.2840822773551</c:v>
                </c:pt>
                <c:pt idx="15">
                  <c:v>6475.2615229384373</c:v>
                </c:pt>
                <c:pt idx="16">
                  <c:v>6740.0932607407603</c:v>
                </c:pt>
                <c:pt idx="17">
                  <c:v>6930.4952235416195</c:v>
                </c:pt>
                <c:pt idx="18">
                  <c:v>7059.9233023150982</c:v>
                </c:pt>
              </c:numCache>
            </c:numRef>
          </c:val>
          <c:smooth val="0"/>
          <c:extLst>
            <c:ext xmlns:c16="http://schemas.microsoft.com/office/drawing/2014/chart" uri="{C3380CC4-5D6E-409C-BE32-E72D297353CC}">
              <c16:uniqueId val="{00000001-A9BD-40A0-A23F-747BD9434942}"/>
            </c:ext>
          </c:extLst>
        </c:ser>
        <c:ser>
          <c:idx val="2"/>
          <c:order val="2"/>
          <c:tx>
            <c:strRef>
              <c:f>'5.1 Operating assets beyond cap'!$O$16:$Q$16</c:f>
              <c:strCache>
                <c:ptCount val="1"/>
                <c:pt idx="0">
                  <c:v>Asset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'5.1 Operating assets beyond cap'!$R$27:$R$45</c:f>
              <c:numCache>
                <c:formatCode>General</c:formatCode>
                <c:ptCount val="19"/>
                <c:pt idx="0">
                  <c:v>29.63526554307505</c:v>
                </c:pt>
                <c:pt idx="1">
                  <c:v>99.534432894354538</c:v>
                </c:pt>
                <c:pt idx="2">
                  <c:v>233.71785432930611</c:v>
                </c:pt>
                <c:pt idx="3">
                  <c:v>449.46375340221135</c:v>
                </c:pt>
                <c:pt idx="4">
                  <c:v>759.046301337062</c:v>
                </c:pt>
                <c:pt idx="5">
                  <c:v>1167.6844600184268</c:v>
                </c:pt>
                <c:pt idx="6">
                  <c:v>1671.848389788998</c:v>
                </c:pt>
                <c:pt idx="7">
                  <c:v>2258.4151284433747</c:v>
                </c:pt>
                <c:pt idx="8">
                  <c:v>2905.1055381198466</c:v>
                </c:pt>
                <c:pt idx="9">
                  <c:v>3582.429444574002</c:v>
                </c:pt>
                <c:pt idx="10">
                  <c:v>4257.0322045186467</c:v>
                </c:pt>
                <c:pt idx="11">
                  <c:v>4895.9494825508636</c:v>
                </c:pt>
                <c:pt idx="12">
                  <c:v>5470.960754501768</c:v>
                </c:pt>
                <c:pt idx="13">
                  <c:v>5962.1148314352713</c:v>
                </c:pt>
                <c:pt idx="14">
                  <c:v>6359.6588108587603</c:v>
                </c:pt>
                <c:pt idx="15">
                  <c:v>6664.0111583465423</c:v>
                </c:pt>
                <c:pt idx="16">
                  <c:v>6883.9489707552439</c:v>
                </c:pt>
                <c:pt idx="17">
                  <c:v>7033.6389050326989</c:v>
                </c:pt>
                <c:pt idx="18">
                  <c:v>7129.3665332525034</c:v>
                </c:pt>
              </c:numCache>
            </c:numRef>
          </c:val>
          <c:smooth val="0"/>
          <c:extLst>
            <c:ext xmlns:c16="http://schemas.microsoft.com/office/drawing/2014/chart" uri="{C3380CC4-5D6E-409C-BE32-E72D297353CC}">
              <c16:uniqueId val="{00000002-A9BD-40A0-A23F-747BD9434942}"/>
            </c:ext>
          </c:extLst>
        </c:ser>
        <c:dLbls>
          <c:showLegendKey val="0"/>
          <c:showVal val="0"/>
          <c:showCatName val="0"/>
          <c:showSerName val="0"/>
          <c:showPercent val="0"/>
          <c:showBubbleSize val="0"/>
        </c:dLbls>
        <c:marker val="1"/>
        <c:smooth val="0"/>
        <c:axId val="702312319"/>
        <c:axId val="676829551"/>
      </c:lineChart>
      <c:catAx>
        <c:axId val="70231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829551"/>
        <c:crosses val="autoZero"/>
        <c:auto val="1"/>
        <c:lblAlgn val="ctr"/>
        <c:lblOffset val="100"/>
        <c:noMultiLvlLbl val="0"/>
      </c:catAx>
      <c:valAx>
        <c:axId val="676829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312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CI</a:t>
            </a:r>
            <a:r>
              <a:rPr lang="en-US" baseline="0"/>
              <a:t> CML Cost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'5.1 Operating assets beyond cap'!$B$16:$D$16</c:f>
              <c:strCache>
                <c:ptCount val="1"/>
                <c:pt idx="0">
                  <c:v>Asset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'5.1 Operating assets beyond cap'!$B$27:$B$45</c:f>
              <c:numCache>
                <c:formatCode>General</c:formatCode>
                <c:ptCount val="19"/>
                <c:pt idx="0">
                  <c:v>10</c:v>
                </c:pt>
                <c:pt idx="1">
                  <c:v>15</c:v>
                </c:pt>
                <c:pt idx="2">
                  <c:v>20</c:v>
                </c:pt>
                <c:pt idx="3">
                  <c:v>25</c:v>
                </c:pt>
                <c:pt idx="4">
                  <c:v>30</c:v>
                </c:pt>
                <c:pt idx="5">
                  <c:v>35</c:v>
                </c:pt>
                <c:pt idx="6">
                  <c:v>40</c:v>
                </c:pt>
                <c:pt idx="7">
                  <c:v>45</c:v>
                </c:pt>
                <c:pt idx="8">
                  <c:v>50</c:v>
                </c:pt>
                <c:pt idx="9">
                  <c:v>55</c:v>
                </c:pt>
                <c:pt idx="10">
                  <c:v>60</c:v>
                </c:pt>
                <c:pt idx="11">
                  <c:v>65</c:v>
                </c:pt>
                <c:pt idx="12">
                  <c:v>70</c:v>
                </c:pt>
                <c:pt idx="13">
                  <c:v>75</c:v>
                </c:pt>
                <c:pt idx="14">
                  <c:v>80</c:v>
                </c:pt>
                <c:pt idx="15">
                  <c:v>85</c:v>
                </c:pt>
                <c:pt idx="16">
                  <c:v>90</c:v>
                </c:pt>
                <c:pt idx="17">
                  <c:v>95</c:v>
                </c:pt>
                <c:pt idx="18">
                  <c:v>100</c:v>
                </c:pt>
              </c:numCache>
            </c:numRef>
          </c:cat>
          <c:val>
            <c:numRef>
              <c:f>'5.1 Operating assets beyond cap'!$F$27:$F$45</c:f>
              <c:numCache>
                <c:formatCode>"£"#,##0.00</c:formatCode>
                <c:ptCount val="19"/>
                <c:pt idx="0">
                  <c:v>27.912541213930453</c:v>
                </c:pt>
                <c:pt idx="1">
                  <c:v>93.316703905006818</c:v>
                </c:pt>
                <c:pt idx="2">
                  <c:v>217.17112333395431</c:v>
                </c:pt>
                <c:pt idx="3">
                  <c:v>411.61834773388352</c:v>
                </c:pt>
                <c:pt idx="4">
                  <c:v>680.51749974870791</c:v>
                </c:pt>
                <c:pt idx="5">
                  <c:v>1017.1496941915816</c:v>
                </c:pt>
                <c:pt idx="6">
                  <c:v>1403.6838974034049</c:v>
                </c:pt>
                <c:pt idx="7">
                  <c:v>1813.2058504382835</c:v>
                </c:pt>
                <c:pt idx="8">
                  <c:v>2214.3452020994901</c:v>
                </c:pt>
                <c:pt idx="9">
                  <c:v>2577.4934479673084</c:v>
                </c:pt>
                <c:pt idx="10">
                  <c:v>2880.7643899821915</c:v>
                </c:pt>
                <c:pt idx="11">
                  <c:v>3113.7281614676886</c:v>
                </c:pt>
                <c:pt idx="12">
                  <c:v>3277.7528228556089</c:v>
                </c:pt>
                <c:pt idx="13">
                  <c:v>3383.1750069233221</c:v>
                </c:pt>
                <c:pt idx="14">
                  <c:v>3444.7550597042832</c:v>
                </c:pt>
                <c:pt idx="15">
                  <c:v>3477.293752826497</c:v>
                </c:pt>
                <c:pt idx="16">
                  <c:v>3492.7708859156214</c:v>
                </c:pt>
                <c:pt idx="17">
                  <c:v>3499.3644643442922</c:v>
                </c:pt>
                <c:pt idx="18">
                  <c:v>3501.8673908362448</c:v>
                </c:pt>
              </c:numCache>
            </c:numRef>
          </c:val>
          <c:smooth val="0"/>
          <c:extLst>
            <c:ext xmlns:c16="http://schemas.microsoft.com/office/drawing/2014/chart" uri="{C3380CC4-5D6E-409C-BE32-E72D297353CC}">
              <c16:uniqueId val="{00000000-EA52-4722-8F41-1B605377A95C}"/>
            </c:ext>
          </c:extLst>
        </c:ser>
        <c:ser>
          <c:idx val="0"/>
          <c:order val="1"/>
          <c:tx>
            <c:strRef>
              <c:f>'5.1 Operating assets beyond cap'!$H$16:$J$16</c:f>
              <c:strCache>
                <c:ptCount val="1"/>
                <c:pt idx="0">
                  <c:v>Asset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'5.1 Operating assets beyond cap'!$L$27:$L$45</c:f>
              <c:numCache>
                <c:formatCode>"£"#,##0.00</c:formatCode>
                <c:ptCount val="19"/>
                <c:pt idx="0">
                  <c:v>12.732534909868516</c:v>
                </c:pt>
                <c:pt idx="1">
                  <c:v>42.787136489397035</c:v>
                </c:pt>
                <c:pt idx="2">
                  <c:v>100.57384329001459</c:v>
                </c:pt>
                <c:pt idx="3">
                  <c:v>193.74441121783394</c:v>
                </c:pt>
                <c:pt idx="4">
                  <c:v>328.01596307472062</c:v>
                </c:pt>
                <c:pt idx="5">
                  <c:v>506.34787196673199</c:v>
                </c:pt>
                <c:pt idx="6">
                  <c:v>728.21991213688034</c:v>
                </c:pt>
                <c:pt idx="7">
                  <c:v>989.19170121330785</c:v>
                </c:pt>
                <c:pt idx="8">
                  <c:v>1280.9135209495837</c:v>
                </c:pt>
                <c:pt idx="9">
                  <c:v>1591.7002522354774</c:v>
                </c:pt>
                <c:pt idx="10">
                  <c:v>1907.6739366580557</c:v>
                </c:pt>
                <c:pt idx="11">
                  <c:v>2214.3452020994901</c:v>
                </c:pt>
                <c:pt idx="12">
                  <c:v>2498.3756654709073</c:v>
                </c:pt>
                <c:pt idx="13">
                  <c:v>2749.1864641819075</c:v>
                </c:pt>
                <c:pt idx="14">
                  <c:v>2960.0874062485655</c:v>
                </c:pt>
                <c:pt idx="15">
                  <c:v>3128.7057258191658</c:v>
                </c:pt>
                <c:pt idx="16">
                  <c:v>3256.6666694050805</c:v>
                </c:pt>
                <c:pt idx="17">
                  <c:v>3348.6647623179247</c:v>
                </c:pt>
                <c:pt idx="18">
                  <c:v>3411.2015988157032</c:v>
                </c:pt>
              </c:numCache>
            </c:numRef>
          </c:val>
          <c:smooth val="0"/>
          <c:extLst>
            <c:ext xmlns:c16="http://schemas.microsoft.com/office/drawing/2014/chart" uri="{C3380CC4-5D6E-409C-BE32-E72D297353CC}">
              <c16:uniqueId val="{00000001-EA52-4722-8F41-1B605377A95C}"/>
            </c:ext>
          </c:extLst>
        </c:ser>
        <c:ser>
          <c:idx val="2"/>
          <c:order val="2"/>
          <c:tx>
            <c:strRef>
              <c:f>'5.1 Operating assets beyond cap'!$O$16:$Q$16</c:f>
              <c:strCache>
                <c:ptCount val="1"/>
                <c:pt idx="0">
                  <c:v>Asset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'5.1 Operating assets beyond cap'!$S$27:$S$45</c:f>
              <c:numCache>
                <c:formatCode>"£"#,##0.00</c:formatCode>
                <c:ptCount val="19"/>
                <c:pt idx="0">
                  <c:v>14.319116635263638</c:v>
                </c:pt>
                <c:pt idx="1">
                  <c:v>48.092876096132208</c:v>
                </c:pt>
                <c:pt idx="2">
                  <c:v>112.9273908823438</c:v>
                </c:pt>
                <c:pt idx="3">
                  <c:v>217.17112333395431</c:v>
                </c:pt>
                <c:pt idx="4">
                  <c:v>366.75468639256445</c:v>
                </c:pt>
                <c:pt idx="5">
                  <c:v>564.19976908544186</c:v>
                </c:pt>
                <c:pt idx="6">
                  <c:v>807.80082955795729</c:v>
                </c:pt>
                <c:pt idx="7">
                  <c:v>1091.2171375019523</c:v>
                </c:pt>
                <c:pt idx="8">
                  <c:v>1403.6838974034049</c:v>
                </c:pt>
                <c:pt idx="9">
                  <c:v>1730.9520975911967</c:v>
                </c:pt>
                <c:pt idx="10">
                  <c:v>2056.905498888636</c:v>
                </c:pt>
                <c:pt idx="11">
                  <c:v>2365.6164504112653</c:v>
                </c:pt>
                <c:pt idx="12">
                  <c:v>2643.4494078277808</c:v>
                </c:pt>
                <c:pt idx="13">
                  <c:v>2880.7643899821915</c:v>
                </c:pt>
                <c:pt idx="14">
                  <c:v>3072.8490062221817</c:v>
                </c:pt>
                <c:pt idx="15">
                  <c:v>3219.9054500242255</c:v>
                </c:pt>
                <c:pt idx="16">
                  <c:v>3326.1746239517333</c:v>
                </c:pt>
                <c:pt idx="17">
                  <c:v>3398.5015489434581</c:v>
                </c:pt>
                <c:pt idx="18">
                  <c:v>3444.7550597042832</c:v>
                </c:pt>
              </c:numCache>
            </c:numRef>
          </c:val>
          <c:smooth val="0"/>
          <c:extLst>
            <c:ext xmlns:c16="http://schemas.microsoft.com/office/drawing/2014/chart" uri="{C3380CC4-5D6E-409C-BE32-E72D297353CC}">
              <c16:uniqueId val="{00000002-EA52-4722-8F41-1B605377A95C}"/>
            </c:ext>
          </c:extLst>
        </c:ser>
        <c:dLbls>
          <c:showLegendKey val="0"/>
          <c:showVal val="0"/>
          <c:showCatName val="0"/>
          <c:showSerName val="0"/>
          <c:showPercent val="0"/>
          <c:showBubbleSize val="0"/>
        </c:dLbls>
        <c:marker val="1"/>
        <c:smooth val="0"/>
        <c:axId val="702312319"/>
        <c:axId val="676829551"/>
      </c:lineChart>
      <c:catAx>
        <c:axId val="70231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829551"/>
        <c:crosses val="autoZero"/>
        <c:auto val="1"/>
        <c:lblAlgn val="ctr"/>
        <c:lblOffset val="100"/>
        <c:noMultiLvlLbl val="0"/>
      </c:catAx>
      <c:valAx>
        <c:axId val="67682955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2312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20</xdr:col>
      <xdr:colOff>190499</xdr:colOff>
      <xdr:row>21</xdr:row>
      <xdr:rowOff>74611</xdr:rowOff>
    </xdr:from>
    <xdr:to>
      <xdr:col>27</xdr:col>
      <xdr:colOff>85724</xdr:colOff>
      <xdr:row>44</xdr:row>
      <xdr:rowOff>146050</xdr:rowOff>
    </xdr:to>
    <xdr:graphicFrame macro="">
      <xdr:nvGraphicFramePr>
        <xdr:cNvPr id="2" name="Chart 1">
          <a:extLst>
            <a:ext uri="{FF2B5EF4-FFF2-40B4-BE49-F238E27FC236}">
              <a16:creationId xmlns:a16="http://schemas.microsoft.com/office/drawing/2014/main" id="{17AB12CC-ECDF-4266-BD46-D48825FF2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209549</xdr:colOff>
      <xdr:row>45</xdr:row>
      <xdr:rowOff>63500</xdr:rowOff>
    </xdr:from>
    <xdr:to>
      <xdr:col>26</xdr:col>
      <xdr:colOff>1181099</xdr:colOff>
      <xdr:row>66</xdr:row>
      <xdr:rowOff>44450</xdr:rowOff>
    </xdr:to>
    <xdr:graphicFrame macro="">
      <xdr:nvGraphicFramePr>
        <xdr:cNvPr id="3" name="Chart 2">
          <a:extLst>
            <a:ext uri="{FF2B5EF4-FFF2-40B4-BE49-F238E27FC236}">
              <a16:creationId xmlns:a16="http://schemas.microsoft.com/office/drawing/2014/main" id="{C95FA405-4B1F-4ABE-85E2-02C00C0B3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0</xdr:colOff>
      <xdr:row>10</xdr:row>
      <xdr:rowOff>0</xdr:rowOff>
    </xdr:from>
    <xdr:to>
      <xdr:col>21</xdr:col>
      <xdr:colOff>493619</xdr:colOff>
      <xdr:row>11</xdr:row>
      <xdr:rowOff>161925</xdr:rowOff>
    </xdr:to>
    <xdr:pic>
      <xdr:nvPicPr>
        <xdr:cNvPr id="4" name="Picture 3">
          <a:extLst>
            <a:ext uri="{FF2B5EF4-FFF2-40B4-BE49-F238E27FC236}">
              <a16:creationId xmlns:a16="http://schemas.microsoft.com/office/drawing/2014/main" id="{882F0CFD-1F85-4F98-A03F-450219CDC48A}"/>
            </a:ext>
          </a:extLst>
        </xdr:cNvPr>
        <xdr:cNvPicPr/>
      </xdr:nvPicPr>
      <xdr:blipFill>
        <a:blip xmlns:r="http://schemas.openxmlformats.org/officeDocument/2006/relationships" r:embed="rId3"/>
        <a:stretch>
          <a:fillRect/>
        </a:stretch>
      </xdr:blipFill>
      <xdr:spPr>
        <a:xfrm>
          <a:off x="17951450" y="1841500"/>
          <a:ext cx="3097119" cy="346075"/>
        </a:xfrm>
        <a:prstGeom prst="rect">
          <a:avLst/>
        </a:prstGeom>
      </xdr:spPr>
    </xdr:pic>
    <xdr:clientData/>
  </xdr:twoCellAnchor>
  <xdr:twoCellAnchor>
    <xdr:from>
      <xdr:col>20</xdr:col>
      <xdr:colOff>138524</xdr:colOff>
      <xdr:row>69</xdr:row>
      <xdr:rowOff>30842</xdr:rowOff>
    </xdr:from>
    <xdr:to>
      <xdr:col>26</xdr:col>
      <xdr:colOff>1213757</xdr:colOff>
      <xdr:row>88</xdr:row>
      <xdr:rowOff>158108</xdr:rowOff>
    </xdr:to>
    <xdr:graphicFrame macro="">
      <xdr:nvGraphicFramePr>
        <xdr:cNvPr id="5" name="Chart 4">
          <a:extLst>
            <a:ext uri="{FF2B5EF4-FFF2-40B4-BE49-F238E27FC236}">
              <a16:creationId xmlns:a16="http://schemas.microsoft.com/office/drawing/2014/main" id="{91284059-E56D-436D-B4C4-15B5F2F65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91</xdr:row>
      <xdr:rowOff>0</xdr:rowOff>
    </xdr:from>
    <xdr:to>
      <xdr:col>26</xdr:col>
      <xdr:colOff>1075233</xdr:colOff>
      <xdr:row>110</xdr:row>
      <xdr:rowOff>127266</xdr:rowOff>
    </xdr:to>
    <xdr:graphicFrame macro="">
      <xdr:nvGraphicFramePr>
        <xdr:cNvPr id="6" name="Chart 5">
          <a:extLst>
            <a:ext uri="{FF2B5EF4-FFF2-40B4-BE49-F238E27FC236}">
              <a16:creationId xmlns:a16="http://schemas.microsoft.com/office/drawing/2014/main" id="{016AB74D-49F4-47B2-A40B-98B68E6BA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0.36656</cdr:x>
      <cdr:y>0.12863</cdr:y>
    </cdr:from>
    <cdr:to>
      <cdr:x>0.36819</cdr:x>
      <cdr:y>0.86601</cdr:y>
    </cdr:to>
    <cdr:cxnSp macro="">
      <cdr:nvCxnSpPr>
        <cdr:cNvPr id="3" name="Straight Connector 2">
          <a:extLst xmlns:a="http://schemas.openxmlformats.org/drawingml/2006/main">
            <a:ext uri="{FF2B5EF4-FFF2-40B4-BE49-F238E27FC236}">
              <a16:creationId xmlns:a16="http://schemas.microsoft.com/office/drawing/2014/main" id="{CE56FE3F-BE01-4029-81F0-B76FF193B09D}"/>
            </a:ext>
          </a:extLst>
        </cdr:cNvPr>
        <cdr:cNvCxnSpPr/>
      </cdr:nvCxnSpPr>
      <cdr:spPr>
        <a:xfrm xmlns:a="http://schemas.openxmlformats.org/drawingml/2006/main" flipH="1" flipV="1">
          <a:off x="2804959" y="460226"/>
          <a:ext cx="12473" cy="2638373"/>
        </a:xfrm>
        <a:prstGeom xmlns:a="http://schemas.openxmlformats.org/drawingml/2006/main" prst="line">
          <a:avLst/>
        </a:prstGeom>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0.36361</cdr:x>
      <cdr:y>0.49398</cdr:y>
    </cdr:from>
    <cdr:to>
      <cdr:x>0.36361</cdr:x>
      <cdr:y>0.86405</cdr:y>
    </cdr:to>
    <cdr:cxnSp macro="">
      <cdr:nvCxnSpPr>
        <cdr:cNvPr id="2" name="Straight Connector 1">
          <a:extLst xmlns:a="http://schemas.openxmlformats.org/drawingml/2006/main">
            <a:ext uri="{FF2B5EF4-FFF2-40B4-BE49-F238E27FC236}">
              <a16:creationId xmlns:a16="http://schemas.microsoft.com/office/drawing/2014/main" id="{3FBFAF74-93CD-4094-A8F6-E9D2FA7D40A5}"/>
            </a:ext>
          </a:extLst>
        </cdr:cNvPr>
        <cdr:cNvCxnSpPr/>
      </cdr:nvCxnSpPr>
      <cdr:spPr>
        <a:xfrm xmlns:a="http://schemas.openxmlformats.org/drawingml/2006/main" flipV="1">
          <a:off x="2916134" y="2086728"/>
          <a:ext cx="0" cy="1563317"/>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0.35934</cdr:x>
      <cdr:y>0.12609</cdr:y>
    </cdr:from>
    <cdr:to>
      <cdr:x>0.36097</cdr:x>
      <cdr:y>0.86347</cdr:y>
    </cdr:to>
    <cdr:cxnSp macro="">
      <cdr:nvCxnSpPr>
        <cdr:cNvPr id="3" name="Straight Connector 2">
          <a:extLst xmlns:a="http://schemas.openxmlformats.org/drawingml/2006/main">
            <a:ext uri="{FF2B5EF4-FFF2-40B4-BE49-F238E27FC236}">
              <a16:creationId xmlns:a16="http://schemas.microsoft.com/office/drawing/2014/main" id="{CE56FE3F-BE01-4029-81F0-B76FF193B09D}"/>
            </a:ext>
          </a:extLst>
        </cdr:cNvPr>
        <cdr:cNvCxnSpPr/>
      </cdr:nvCxnSpPr>
      <cdr:spPr>
        <a:xfrm xmlns:a="http://schemas.openxmlformats.org/drawingml/2006/main" flipH="1" flipV="1">
          <a:off x="2632262" y="502024"/>
          <a:ext cx="11971" cy="2935840"/>
        </a:xfrm>
        <a:prstGeom xmlns:a="http://schemas.openxmlformats.org/drawingml/2006/main" prst="line">
          <a:avLst/>
        </a:prstGeom>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0.36656</cdr:x>
      <cdr:y>0.12863</cdr:y>
    </cdr:from>
    <cdr:to>
      <cdr:x>0.36819</cdr:x>
      <cdr:y>0.86601</cdr:y>
    </cdr:to>
    <cdr:cxnSp macro="">
      <cdr:nvCxnSpPr>
        <cdr:cNvPr id="3" name="Straight Connector 2">
          <a:extLst xmlns:a="http://schemas.openxmlformats.org/drawingml/2006/main">
            <a:ext uri="{FF2B5EF4-FFF2-40B4-BE49-F238E27FC236}">
              <a16:creationId xmlns:a16="http://schemas.microsoft.com/office/drawing/2014/main" id="{CE56FE3F-BE01-4029-81F0-B76FF193B09D}"/>
            </a:ext>
          </a:extLst>
        </cdr:cNvPr>
        <cdr:cNvCxnSpPr/>
      </cdr:nvCxnSpPr>
      <cdr:spPr>
        <a:xfrm xmlns:a="http://schemas.openxmlformats.org/drawingml/2006/main" flipH="1" flipV="1">
          <a:off x="2804959" y="460226"/>
          <a:ext cx="12473" cy="2638373"/>
        </a:xfrm>
        <a:prstGeom xmlns:a="http://schemas.openxmlformats.org/drawingml/2006/main" prst="line">
          <a:avLst/>
        </a:prstGeom>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0.36656</cdr:x>
      <cdr:y>0.12863</cdr:y>
    </cdr:from>
    <cdr:to>
      <cdr:x>0.36819</cdr:x>
      <cdr:y>0.86601</cdr:y>
    </cdr:to>
    <cdr:cxnSp macro="">
      <cdr:nvCxnSpPr>
        <cdr:cNvPr id="3" name="Straight Connector 2">
          <a:extLst xmlns:a="http://schemas.openxmlformats.org/drawingml/2006/main">
            <a:ext uri="{FF2B5EF4-FFF2-40B4-BE49-F238E27FC236}">
              <a16:creationId xmlns:a16="http://schemas.microsoft.com/office/drawing/2014/main" id="{CE56FE3F-BE01-4029-81F0-B76FF193B09D}"/>
            </a:ext>
          </a:extLst>
        </cdr:cNvPr>
        <cdr:cNvCxnSpPr/>
      </cdr:nvCxnSpPr>
      <cdr:spPr>
        <a:xfrm xmlns:a="http://schemas.openxmlformats.org/drawingml/2006/main" flipH="1" flipV="1">
          <a:off x="2804959" y="460226"/>
          <a:ext cx="12473" cy="2638373"/>
        </a:xfrm>
        <a:prstGeom xmlns:a="http://schemas.openxmlformats.org/drawingml/2006/main" prst="line">
          <a:avLst/>
        </a:prstGeom>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20</xdr:col>
      <xdr:colOff>190499</xdr:colOff>
      <xdr:row>21</xdr:row>
      <xdr:rowOff>74611</xdr:rowOff>
    </xdr:from>
    <xdr:to>
      <xdr:col>27</xdr:col>
      <xdr:colOff>85724</xdr:colOff>
      <xdr:row>44</xdr:row>
      <xdr:rowOff>146050</xdr:rowOff>
    </xdr:to>
    <xdr:graphicFrame macro="">
      <xdr:nvGraphicFramePr>
        <xdr:cNvPr id="2" name="Chart 1">
          <a:extLst>
            <a:ext uri="{FF2B5EF4-FFF2-40B4-BE49-F238E27FC236}">
              <a16:creationId xmlns:a16="http://schemas.microsoft.com/office/drawing/2014/main" id="{829D04A3-738D-438F-91F9-5BFBE717E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209549</xdr:colOff>
      <xdr:row>45</xdr:row>
      <xdr:rowOff>63500</xdr:rowOff>
    </xdr:from>
    <xdr:to>
      <xdr:col>26</xdr:col>
      <xdr:colOff>1181099</xdr:colOff>
      <xdr:row>66</xdr:row>
      <xdr:rowOff>44450</xdr:rowOff>
    </xdr:to>
    <xdr:graphicFrame macro="">
      <xdr:nvGraphicFramePr>
        <xdr:cNvPr id="3" name="Chart 2">
          <a:extLst>
            <a:ext uri="{FF2B5EF4-FFF2-40B4-BE49-F238E27FC236}">
              <a16:creationId xmlns:a16="http://schemas.microsoft.com/office/drawing/2014/main" id="{C717CF37-17FF-4BC7-B430-B41FBCF26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0</xdr:colOff>
      <xdr:row>10</xdr:row>
      <xdr:rowOff>0</xdr:rowOff>
    </xdr:from>
    <xdr:to>
      <xdr:col>21</xdr:col>
      <xdr:colOff>493619</xdr:colOff>
      <xdr:row>11</xdr:row>
      <xdr:rowOff>161925</xdr:rowOff>
    </xdr:to>
    <xdr:pic>
      <xdr:nvPicPr>
        <xdr:cNvPr id="4" name="Picture 3">
          <a:extLst>
            <a:ext uri="{FF2B5EF4-FFF2-40B4-BE49-F238E27FC236}">
              <a16:creationId xmlns:a16="http://schemas.microsoft.com/office/drawing/2014/main" id="{052EEA73-67E2-4829-BA1B-9AAD22B48808}"/>
            </a:ext>
          </a:extLst>
        </xdr:cNvPr>
        <xdr:cNvPicPr/>
      </xdr:nvPicPr>
      <xdr:blipFill>
        <a:blip xmlns:r="http://schemas.openxmlformats.org/officeDocument/2006/relationships" r:embed="rId3"/>
        <a:stretch>
          <a:fillRect/>
        </a:stretch>
      </xdr:blipFill>
      <xdr:spPr>
        <a:xfrm>
          <a:off x="17951450" y="1841500"/>
          <a:ext cx="3097119" cy="346075"/>
        </a:xfrm>
        <a:prstGeom prst="rect">
          <a:avLst/>
        </a:prstGeom>
      </xdr:spPr>
    </xdr:pic>
    <xdr:clientData/>
  </xdr:twoCellAnchor>
  <xdr:twoCellAnchor>
    <xdr:from>
      <xdr:col>20</xdr:col>
      <xdr:colOff>138524</xdr:colOff>
      <xdr:row>69</xdr:row>
      <xdr:rowOff>30842</xdr:rowOff>
    </xdr:from>
    <xdr:to>
      <xdr:col>26</xdr:col>
      <xdr:colOff>1213757</xdr:colOff>
      <xdr:row>88</xdr:row>
      <xdr:rowOff>158108</xdr:rowOff>
    </xdr:to>
    <xdr:graphicFrame macro="">
      <xdr:nvGraphicFramePr>
        <xdr:cNvPr id="5" name="Chart 4">
          <a:extLst>
            <a:ext uri="{FF2B5EF4-FFF2-40B4-BE49-F238E27FC236}">
              <a16:creationId xmlns:a16="http://schemas.microsoft.com/office/drawing/2014/main" id="{AFB5732C-AFE1-4A63-8A7B-A3767628D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91</xdr:row>
      <xdr:rowOff>0</xdr:rowOff>
    </xdr:from>
    <xdr:to>
      <xdr:col>26</xdr:col>
      <xdr:colOff>1075233</xdr:colOff>
      <xdr:row>110</xdr:row>
      <xdr:rowOff>127266</xdr:rowOff>
    </xdr:to>
    <xdr:graphicFrame macro="">
      <xdr:nvGraphicFramePr>
        <xdr:cNvPr id="6" name="Chart 5">
          <a:extLst>
            <a:ext uri="{FF2B5EF4-FFF2-40B4-BE49-F238E27FC236}">
              <a16:creationId xmlns:a16="http://schemas.microsoft.com/office/drawing/2014/main" id="{D74A96A9-8030-44A4-8705-17D35C89A4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0.36361</cdr:x>
      <cdr:y>0.49398</cdr:y>
    </cdr:from>
    <cdr:to>
      <cdr:x>0.36361</cdr:x>
      <cdr:y>0.86405</cdr:y>
    </cdr:to>
    <cdr:cxnSp macro="">
      <cdr:nvCxnSpPr>
        <cdr:cNvPr id="2" name="Straight Connector 1">
          <a:extLst xmlns:a="http://schemas.openxmlformats.org/drawingml/2006/main">
            <a:ext uri="{FF2B5EF4-FFF2-40B4-BE49-F238E27FC236}">
              <a16:creationId xmlns:a16="http://schemas.microsoft.com/office/drawing/2014/main" id="{3FBFAF74-93CD-4094-A8F6-E9D2FA7D40A5}"/>
            </a:ext>
          </a:extLst>
        </cdr:cNvPr>
        <cdr:cNvCxnSpPr/>
      </cdr:nvCxnSpPr>
      <cdr:spPr>
        <a:xfrm xmlns:a="http://schemas.openxmlformats.org/drawingml/2006/main" flipV="1">
          <a:off x="2916134" y="2086728"/>
          <a:ext cx="0" cy="1563317"/>
        </a:xfrm>
        <a:prstGeom xmlns:a="http://schemas.openxmlformats.org/drawingml/2006/main" prst="line">
          <a:avLst/>
        </a:prstGeom>
      </cdr:spPr>
      <cdr:style>
        <a:lnRef xmlns:a="http://schemas.openxmlformats.org/drawingml/2006/main" idx="3">
          <a:schemeClr val="accent6"/>
        </a:lnRef>
        <a:fillRef xmlns:a="http://schemas.openxmlformats.org/drawingml/2006/main" idx="0">
          <a:schemeClr val="accent6"/>
        </a:fillRef>
        <a:effectRef xmlns:a="http://schemas.openxmlformats.org/drawingml/2006/main" idx="2">
          <a:schemeClr val="accent6"/>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0.35934</cdr:x>
      <cdr:y>0.12609</cdr:y>
    </cdr:from>
    <cdr:to>
      <cdr:x>0.36097</cdr:x>
      <cdr:y>0.86347</cdr:y>
    </cdr:to>
    <cdr:cxnSp macro="">
      <cdr:nvCxnSpPr>
        <cdr:cNvPr id="3" name="Straight Connector 2">
          <a:extLst xmlns:a="http://schemas.openxmlformats.org/drawingml/2006/main">
            <a:ext uri="{FF2B5EF4-FFF2-40B4-BE49-F238E27FC236}">
              <a16:creationId xmlns:a16="http://schemas.microsoft.com/office/drawing/2014/main" id="{CE56FE3F-BE01-4029-81F0-B76FF193B09D}"/>
            </a:ext>
          </a:extLst>
        </cdr:cNvPr>
        <cdr:cNvCxnSpPr/>
      </cdr:nvCxnSpPr>
      <cdr:spPr>
        <a:xfrm xmlns:a="http://schemas.openxmlformats.org/drawingml/2006/main" flipH="1" flipV="1">
          <a:off x="2632262" y="502024"/>
          <a:ext cx="11971" cy="2935840"/>
        </a:xfrm>
        <a:prstGeom xmlns:a="http://schemas.openxmlformats.org/drawingml/2006/main" prst="line">
          <a:avLst/>
        </a:prstGeom>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0.36656</cdr:x>
      <cdr:y>0.12863</cdr:y>
    </cdr:from>
    <cdr:to>
      <cdr:x>0.36819</cdr:x>
      <cdr:y>0.86601</cdr:y>
    </cdr:to>
    <cdr:cxnSp macro="">
      <cdr:nvCxnSpPr>
        <cdr:cNvPr id="3" name="Straight Connector 2">
          <a:extLst xmlns:a="http://schemas.openxmlformats.org/drawingml/2006/main">
            <a:ext uri="{FF2B5EF4-FFF2-40B4-BE49-F238E27FC236}">
              <a16:creationId xmlns:a16="http://schemas.microsoft.com/office/drawing/2014/main" id="{CE56FE3F-BE01-4029-81F0-B76FF193B09D}"/>
            </a:ext>
          </a:extLst>
        </cdr:cNvPr>
        <cdr:cNvCxnSpPr/>
      </cdr:nvCxnSpPr>
      <cdr:spPr>
        <a:xfrm xmlns:a="http://schemas.openxmlformats.org/drawingml/2006/main" flipH="1" flipV="1">
          <a:off x="2804959" y="460226"/>
          <a:ext cx="12473" cy="2638373"/>
        </a:xfrm>
        <a:prstGeom xmlns:a="http://schemas.openxmlformats.org/drawingml/2006/main" prst="line">
          <a:avLst/>
        </a:prstGeom>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secom.sharepoint.com/Users/rw28663/AppData/Local/Microsoft/Windows/INetCache/Content.Outlook/0JCHZE02/CEM%20CBA%20template_DRAFT_V1.0_example%20figu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Purpose of CBA"/>
      <sheetName val="Blank"/>
      <sheetName val="Inputs&gt;&gt;&gt;"/>
      <sheetName val="Flexibility Requirements"/>
      <sheetName val="Reinforcement Deferral"/>
      <sheetName val="Societal Impacts"/>
      <sheetName val="Fixed Inputs"/>
      <sheetName val="Workings"/>
      <sheetName val="Results and insight&gt;&gt;&gt;"/>
      <sheetName val="Flexibility Ceiling Price"/>
      <sheetName val="Benefit at Ex-Ante Flex Price"/>
      <sheetName val="Summary CBA"/>
      <sheetName val="Insights and Reporting"/>
      <sheetName val="NPVs&gt;&gt;&gt;"/>
      <sheetName val="Baseline"/>
      <sheetName val="Scn1"/>
      <sheetName val="Scn2"/>
      <sheetName val="Scn3"/>
      <sheetName val="Scn4"/>
      <sheetName val="Scn5"/>
    </sheetNames>
    <sheetDataSet>
      <sheetData sheetId="0" refreshError="1"/>
      <sheetData sheetId="1" refreshError="1"/>
      <sheetData sheetId="2" refreshError="1"/>
      <sheetData sheetId="3" refreshError="1"/>
      <sheetData sheetId="4">
        <row r="8">
          <cell r="C8" t="str">
            <v>Deferral</v>
          </cell>
        </row>
        <row r="11">
          <cell r="C11" t="str">
            <v>Best view</v>
          </cell>
        </row>
        <row r="12">
          <cell r="C12" t="str">
            <v>Two degrees</v>
          </cell>
        </row>
        <row r="13">
          <cell r="C13" t="str">
            <v>Community Renewables</v>
          </cell>
        </row>
        <row r="14">
          <cell r="C14" t="str">
            <v>Consumer Evolution</v>
          </cell>
        </row>
        <row r="15">
          <cell r="C15" t="str">
            <v>Steady Progression</v>
          </cell>
        </row>
        <row r="38">
          <cell r="D38">
            <v>0.1</v>
          </cell>
        </row>
      </sheetData>
      <sheetData sheetId="5">
        <row r="8">
          <cell r="D8" t="str">
            <v>2018/19</v>
          </cell>
        </row>
        <row r="9">
          <cell r="D9">
            <v>2019</v>
          </cell>
        </row>
        <row r="10">
          <cell r="D10">
            <v>2020</v>
          </cell>
        </row>
        <row r="14">
          <cell r="D14">
            <v>2023</v>
          </cell>
        </row>
        <row r="15">
          <cell r="D15">
            <v>9999</v>
          </cell>
        </row>
      </sheetData>
      <sheetData sheetId="6" refreshError="1"/>
      <sheetData sheetId="7" refreshError="1"/>
      <sheetData sheetId="8" refreshError="1"/>
      <sheetData sheetId="9" refreshError="1"/>
      <sheetData sheetId="10" refreshError="1"/>
      <sheetData sheetId="11"/>
      <sheetData sheetId="12">
        <row r="6">
          <cell r="D6">
            <v>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671191/Updated_short-term_traded_carbon_values_for_modelling_purposes.pdf" TargetMode="External"/><Relationship Id="rId3" Type="http://schemas.openxmlformats.org/officeDocument/2006/relationships/hyperlink" Target="https://assets.publishing.service.gov.uk/government/uploads/system/uploads/attachment_data/file/685912/Discount_Factors.xlsx" TargetMode="External"/><Relationship Id="rId7" Type="http://schemas.openxmlformats.org/officeDocument/2006/relationships/hyperlink" Target="https://www.ons.gov.uk/generator?format=xls&amp;uri=/economy/inflationandpriceindices/timeseries/l522/mm23" TargetMode="External"/><Relationship Id="rId2" Type="http://schemas.openxmlformats.org/officeDocument/2006/relationships/hyperlink" Target="https://assets.publishing.service.gov.uk/government/uploads/system/uploads/attachment_data/file/685903/The_Green_Book.pdf" TargetMode="External"/><Relationship Id="rId1" Type="http://schemas.openxmlformats.org/officeDocument/2006/relationships/hyperlink" Target="https://www.gov.uk/carbon-valuation" TargetMode="External"/><Relationship Id="rId6" Type="http://schemas.openxmlformats.org/officeDocument/2006/relationships/hyperlink" Target="https://www.ons.gov.uk/economy/inflationandpriceindices/timeseries/l522/mm23" TargetMode="External"/><Relationship Id="rId11" Type="http://schemas.openxmlformats.org/officeDocument/2006/relationships/printerSettings" Target="../printerSettings/printerSettings1.bin"/><Relationship Id="rId5" Type="http://schemas.openxmlformats.org/officeDocument/2006/relationships/hyperlink" Target="https://assets.publishing.service.gov.uk/government/uploads/system/uploads/attachment_data/file/685912/Discount_Factors.xlsx" TargetMode="External"/><Relationship Id="rId10" Type="http://schemas.openxmlformats.org/officeDocument/2006/relationships/hyperlink" Target="http://www.hse.gov.uk/economics/eauappraisal.htm" TargetMode="External"/><Relationship Id="rId4" Type="http://schemas.openxmlformats.org/officeDocument/2006/relationships/hyperlink" Target="https://assets.publishing.service.gov.uk/government/uploads/system/uploads/attachment_data/file/685912/Discount_Factors.xlsx" TargetMode="External"/><Relationship Id="rId9" Type="http://schemas.openxmlformats.org/officeDocument/2006/relationships/hyperlink" Target="http://www.hse.gov.uk/statistics/cost.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sse.com/media/onej35am/sse-sustainability-report-2019-final-spreads.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0D1E-8E89-4637-97A3-4292F3A13A37}">
  <sheetPr codeName="Sheet5">
    <tabColor theme="7" tint="0.79998168889431442"/>
    <pageSetUpPr autoPageBreaks="0"/>
  </sheetPr>
  <dimension ref="A2:BP221"/>
  <sheetViews>
    <sheetView zoomScale="70" zoomScaleNormal="70" workbookViewId="0">
      <selection activeCell="K12" sqref="K12"/>
    </sheetView>
  </sheetViews>
  <sheetFormatPr defaultColWidth="10.5703125" defaultRowHeight="13.5" outlineLevelRow="1"/>
  <cols>
    <col min="1" max="1" width="14" style="43" customWidth="1"/>
    <col min="2" max="2" width="13.7109375" style="42" bestFit="1" customWidth="1"/>
    <col min="3" max="3" width="36.42578125" style="43" customWidth="1"/>
    <col min="4" max="4" width="21.42578125" style="43" customWidth="1"/>
    <col min="5" max="6" width="26.5703125" style="43" customWidth="1"/>
    <col min="7" max="8" width="17.28515625" style="43" customWidth="1"/>
    <col min="9" max="9" width="14.85546875" style="43" customWidth="1"/>
    <col min="10" max="11" width="13.5703125" style="43" customWidth="1"/>
    <col min="12" max="12" width="23.5703125" style="43" customWidth="1"/>
    <col min="13" max="14" width="13.5703125" style="43" customWidth="1"/>
    <col min="15" max="15" width="14.85546875" style="43" customWidth="1"/>
    <col min="16" max="19" width="13.5703125" style="43" customWidth="1"/>
    <col min="20" max="20" width="13.5703125" style="38" customWidth="1"/>
    <col min="21" max="58" width="13.5703125" style="43" customWidth="1"/>
    <col min="59" max="16384" width="10.5703125" style="43"/>
  </cols>
  <sheetData>
    <row r="2" spans="1:68" s="38" customFormat="1" ht="31.5">
      <c r="A2" s="37" t="s">
        <v>0</v>
      </c>
    </row>
    <row r="3" spans="1:68" s="39" customFormat="1" ht="13.5" customHeight="1"/>
    <row r="4" spans="1:68" s="39" customFormat="1" ht="13.5" customHeight="1">
      <c r="B4" s="40" t="s">
        <v>1</v>
      </c>
    </row>
    <row r="5" spans="1:68" s="39" customFormat="1" ht="123.6" hidden="1" customHeight="1" outlineLevel="1">
      <c r="B5" s="148" t="s">
        <v>2</v>
      </c>
      <c r="C5" s="148"/>
      <c r="D5" s="148"/>
      <c r="E5" s="41"/>
      <c r="F5" s="41"/>
      <c r="G5" s="41"/>
      <c r="H5" s="41"/>
      <c r="I5" s="41"/>
      <c r="J5" s="41"/>
      <c r="K5" s="41"/>
      <c r="L5" s="41"/>
      <c r="M5" s="41"/>
    </row>
    <row r="6" spans="1:68" ht="13.5" customHeight="1" collapsed="1">
      <c r="A6" s="39"/>
      <c r="T6" s="43"/>
    </row>
    <row r="7" spans="1:68" ht="12.6" customHeight="1">
      <c r="A7" s="44"/>
      <c r="B7" s="44"/>
      <c r="C7" s="45" t="s">
        <v>3</v>
      </c>
      <c r="D7" s="46"/>
      <c r="E7" s="46"/>
      <c r="F7" s="46"/>
      <c r="G7" s="47"/>
      <c r="H7" s="48" t="s">
        <v>4</v>
      </c>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row>
    <row r="8" spans="1:68" ht="14.45">
      <c r="A8" s="44"/>
      <c r="B8" s="44"/>
      <c r="C8" s="49" t="s">
        <v>5</v>
      </c>
      <c r="D8" s="50">
        <v>0.85</v>
      </c>
      <c r="E8" s="49"/>
      <c r="F8" s="46"/>
      <c r="N8" s="43" t="s">
        <v>6</v>
      </c>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row>
    <row r="9" spans="1:68" ht="14.45">
      <c r="A9" s="44"/>
      <c r="B9" s="44"/>
      <c r="C9" s="49" t="s">
        <v>7</v>
      </c>
      <c r="D9" s="51">
        <v>3.5999999999999997E-2</v>
      </c>
      <c r="E9" s="52" t="s">
        <v>8</v>
      </c>
      <c r="F9" s="46"/>
      <c r="H9" s="43" t="s">
        <v>9</v>
      </c>
      <c r="K9" s="53">
        <v>59.74063086583358</v>
      </c>
      <c r="L9" s="54" t="s">
        <v>10</v>
      </c>
      <c r="M9" s="55" t="s">
        <v>11</v>
      </c>
      <c r="N9" s="43" t="s">
        <v>6</v>
      </c>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row>
    <row r="10" spans="1:68" ht="14.45">
      <c r="A10" s="44"/>
      <c r="B10" s="44"/>
      <c r="C10" s="49" t="s">
        <v>12</v>
      </c>
      <c r="D10" s="56">
        <v>3.5000000000000003E-2</v>
      </c>
      <c r="E10" s="57" t="s">
        <v>13</v>
      </c>
      <c r="F10" s="58" t="s">
        <v>14</v>
      </c>
      <c r="G10" s="43" t="s">
        <v>6</v>
      </c>
      <c r="H10" s="43" t="s">
        <v>15</v>
      </c>
      <c r="K10" s="53">
        <v>44.516118379905798</v>
      </c>
      <c r="L10" s="47"/>
      <c r="M10" s="55"/>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row>
    <row r="11" spans="1:68" ht="14.45">
      <c r="A11" s="44"/>
      <c r="B11" s="44"/>
      <c r="C11" s="49" t="s">
        <v>16</v>
      </c>
      <c r="D11" s="56">
        <v>0.03</v>
      </c>
      <c r="E11" s="57" t="s">
        <v>13</v>
      </c>
      <c r="F11" s="58" t="s">
        <v>17</v>
      </c>
      <c r="G11" s="43" t="s">
        <v>6</v>
      </c>
      <c r="H11" s="54" t="s">
        <v>18</v>
      </c>
      <c r="K11" s="59">
        <v>15.443520834221436</v>
      </c>
      <c r="L11" s="60"/>
      <c r="N11" s="43" t="s">
        <v>6</v>
      </c>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row>
    <row r="12" spans="1:68" ht="14.45">
      <c r="A12" s="44"/>
      <c r="B12" s="44"/>
      <c r="C12" s="49" t="s">
        <v>19</v>
      </c>
      <c r="D12" s="56">
        <v>1.4999999999999999E-2</v>
      </c>
      <c r="E12" s="57" t="s">
        <v>20</v>
      </c>
      <c r="F12" s="58" t="s">
        <v>17</v>
      </c>
      <c r="G12" s="43" t="s">
        <v>6</v>
      </c>
      <c r="H12" s="54" t="s">
        <v>21</v>
      </c>
      <c r="K12" s="59">
        <v>0.37667123985905826</v>
      </c>
      <c r="L12" s="57"/>
      <c r="M12" s="61"/>
      <c r="N12" s="43" t="s">
        <v>6</v>
      </c>
      <c r="O12" s="49" t="s">
        <v>6</v>
      </c>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row>
    <row r="13" spans="1:68" ht="14.45">
      <c r="A13" s="44"/>
      <c r="B13" s="44"/>
      <c r="C13" s="49" t="s">
        <v>22</v>
      </c>
      <c r="D13" s="56">
        <v>1.28571428571429E-2</v>
      </c>
      <c r="E13" s="57" t="s">
        <v>20</v>
      </c>
      <c r="F13" s="58" t="s">
        <v>17</v>
      </c>
      <c r="G13" s="43" t="s">
        <v>6</v>
      </c>
      <c r="H13" s="54" t="s">
        <v>23</v>
      </c>
      <c r="K13" s="62">
        <f>K11*'ON-P Fixed Inputs'!$K$37/'ON-P Fixed Inputs'!$K$31</f>
        <v>17.018466812825729</v>
      </c>
      <c r="L13" s="60"/>
      <c r="M13" s="61"/>
      <c r="N13" s="43" t="s">
        <v>6</v>
      </c>
      <c r="O13" s="49" t="s">
        <v>6</v>
      </c>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row>
    <row r="14" spans="1:68" ht="14.45">
      <c r="A14" s="44"/>
      <c r="B14" s="44"/>
      <c r="C14" s="49" t="s">
        <v>24</v>
      </c>
      <c r="D14" s="63">
        <v>45</v>
      </c>
      <c r="H14" s="54" t="s">
        <v>25</v>
      </c>
      <c r="K14" s="62">
        <f>K12*'ON-P Fixed Inputs'!$K$37/'ON-P Fixed Inputs'!$K$31</f>
        <v>0.41508455641038239</v>
      </c>
      <c r="L14" s="60"/>
      <c r="M14" s="61"/>
      <c r="N14" s="43" t="s">
        <v>6</v>
      </c>
      <c r="O14" s="49" t="s">
        <v>6</v>
      </c>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row>
    <row r="15" spans="1:68" ht="14.45">
      <c r="A15" s="44"/>
      <c r="B15" s="44"/>
      <c r="C15" s="49" t="s">
        <v>26</v>
      </c>
      <c r="D15" s="53">
        <v>1.617</v>
      </c>
      <c r="E15" s="61"/>
      <c r="F15" s="61" t="s">
        <v>27</v>
      </c>
      <c r="G15" s="43" t="s">
        <v>6</v>
      </c>
      <c r="H15" s="47"/>
      <c r="K15" s="44"/>
      <c r="L15" s="47"/>
      <c r="M15" s="61"/>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row>
    <row r="16" spans="1:68" ht="14.45">
      <c r="A16" s="44"/>
      <c r="B16" s="44"/>
      <c r="C16" s="64" t="s">
        <v>28</v>
      </c>
      <c r="D16" s="53">
        <v>8.3999999999999995E-3</v>
      </c>
      <c r="E16" s="65"/>
      <c r="F16" s="65" t="s">
        <v>29</v>
      </c>
      <c r="G16" s="43" t="s">
        <v>6</v>
      </c>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row>
    <row r="17" spans="1:68" ht="14.45">
      <c r="A17" s="61"/>
      <c r="B17" s="46"/>
      <c r="C17" s="49"/>
      <c r="D17" s="49"/>
      <c r="E17" s="49"/>
      <c r="I17" s="49"/>
      <c r="J17" s="49"/>
      <c r="K17" s="49"/>
      <c r="L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row>
    <row r="18" spans="1:68" ht="14.45">
      <c r="A18" s="61"/>
      <c r="B18" s="46"/>
      <c r="C18" s="49"/>
      <c r="D18" s="49"/>
      <c r="E18" s="49"/>
      <c r="I18" s="49"/>
      <c r="J18" s="49"/>
      <c r="K18" s="49"/>
      <c r="L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row>
    <row r="19" spans="1:68" ht="111.6" customHeight="1">
      <c r="A19" s="61"/>
      <c r="B19" s="149" t="s">
        <v>30</v>
      </c>
      <c r="C19" s="150"/>
      <c r="D19" s="150"/>
      <c r="E19" s="150"/>
      <c r="F19" s="150"/>
      <c r="G19" s="151"/>
      <c r="J19" s="152" t="s">
        <v>31</v>
      </c>
      <c r="K19" s="152"/>
      <c r="L19" s="152"/>
      <c r="M19" s="152"/>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row>
    <row r="20" spans="1:68" ht="14.45">
      <c r="A20" s="49"/>
      <c r="B20" s="66"/>
      <c r="D20" s="49"/>
      <c r="H20" s="49"/>
      <c r="I20" s="49"/>
      <c r="J20" s="67"/>
      <c r="K20" s="66"/>
      <c r="L20" s="66"/>
      <c r="M20" s="66"/>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row>
    <row r="21" spans="1:68" ht="54">
      <c r="A21" s="49"/>
      <c r="B21" s="68" t="s">
        <v>32</v>
      </c>
      <c r="C21" s="69" t="s">
        <v>33</v>
      </c>
      <c r="D21" s="68" t="s">
        <v>34</v>
      </c>
      <c r="E21" s="69" t="s">
        <v>35</v>
      </c>
      <c r="F21" s="69" t="s">
        <v>36</v>
      </c>
      <c r="G21" s="69" t="s">
        <v>37</v>
      </c>
      <c r="H21" s="70"/>
      <c r="I21" s="49"/>
      <c r="J21" s="68" t="s">
        <v>38</v>
      </c>
      <c r="K21" s="68" t="s">
        <v>33</v>
      </c>
      <c r="L21" s="68" t="s">
        <v>32</v>
      </c>
      <c r="M21" s="71" t="s">
        <v>39</v>
      </c>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row>
    <row r="22" spans="1:68" ht="14.45">
      <c r="B22" s="72">
        <v>2004</v>
      </c>
      <c r="C22" s="73"/>
      <c r="D22" s="72"/>
      <c r="E22" s="74"/>
      <c r="F22" s="74"/>
      <c r="G22" s="74"/>
      <c r="I22" s="49"/>
      <c r="J22" s="72" t="s">
        <v>40</v>
      </c>
      <c r="K22" s="75">
        <v>76.974999999999994</v>
      </c>
      <c r="L22" s="72">
        <v>2004</v>
      </c>
      <c r="M22" s="76">
        <f t="shared" ref="M22:M85" si="0">IFERROR(($K$37/$K22),"")</f>
        <v>1.3826956804157196</v>
      </c>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row>
    <row r="23" spans="1:68" ht="14.45">
      <c r="B23" s="72">
        <v>2005</v>
      </c>
      <c r="C23" s="73"/>
      <c r="D23" s="72"/>
      <c r="E23" s="74"/>
      <c r="F23" s="74"/>
      <c r="G23" s="74"/>
      <c r="I23" s="49"/>
      <c r="J23" s="72" t="s">
        <v>41</v>
      </c>
      <c r="K23" s="75">
        <v>78.125</v>
      </c>
      <c r="L23" s="72">
        <v>2005</v>
      </c>
      <c r="M23" s="76">
        <f t="shared" si="0"/>
        <v>1.3623424000000002</v>
      </c>
      <c r="N23" s="77"/>
      <c r="O23" s="78"/>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row>
    <row r="24" spans="1:68" ht="14.45">
      <c r="B24" s="72">
        <v>2006</v>
      </c>
      <c r="C24" s="73"/>
      <c r="D24" s="72"/>
      <c r="E24" s="74"/>
      <c r="F24" s="74"/>
      <c r="G24" s="74"/>
      <c r="I24" s="49"/>
      <c r="J24" s="72" t="s">
        <v>42</v>
      </c>
      <c r="K24" s="75">
        <v>79.825000000000003</v>
      </c>
      <c r="L24" s="72">
        <v>2006</v>
      </c>
      <c r="M24" s="76">
        <f t="shared" si="0"/>
        <v>1.3333291575321016</v>
      </c>
      <c r="N24" s="77"/>
      <c r="O24" s="78"/>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row>
    <row r="25" spans="1:68" ht="14.45">
      <c r="B25" s="72">
        <v>2007</v>
      </c>
      <c r="C25" s="73"/>
      <c r="D25" s="72"/>
      <c r="E25" s="74"/>
      <c r="F25" s="74"/>
      <c r="G25" s="74"/>
      <c r="I25" s="49"/>
      <c r="J25" s="72" t="s">
        <v>43</v>
      </c>
      <c r="K25" s="75">
        <v>81.916666669999998</v>
      </c>
      <c r="L25" s="72">
        <v>2007</v>
      </c>
      <c r="M25" s="76">
        <f t="shared" si="0"/>
        <v>1.2992838249725622</v>
      </c>
      <c r="O25" s="78"/>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79"/>
      <c r="BO25" s="79"/>
    </row>
    <row r="26" spans="1:68" ht="14.45">
      <c r="B26" s="72">
        <v>2008</v>
      </c>
      <c r="C26" s="73"/>
      <c r="D26" s="72"/>
      <c r="E26" s="74"/>
      <c r="F26" s="74"/>
      <c r="G26" s="74"/>
      <c r="I26" s="49"/>
      <c r="J26" s="72" t="s">
        <v>44</v>
      </c>
      <c r="K26" s="75">
        <v>83.825000000000003</v>
      </c>
      <c r="L26" s="72">
        <v>2008</v>
      </c>
      <c r="M26" s="76">
        <f t="shared" si="0"/>
        <v>1.2697047420220697</v>
      </c>
      <c r="O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79"/>
      <c r="BO26" s="79"/>
    </row>
    <row r="27" spans="1:68" ht="14.45">
      <c r="B27" s="72">
        <v>2009</v>
      </c>
      <c r="C27" s="73"/>
      <c r="D27" s="72"/>
      <c r="E27" s="74"/>
      <c r="F27" s="74"/>
      <c r="G27" s="74"/>
      <c r="I27" s="49"/>
      <c r="J27" s="72" t="s">
        <v>45</v>
      </c>
      <c r="K27" s="75">
        <v>86.858333329999994</v>
      </c>
      <c r="L27" s="72">
        <v>2009</v>
      </c>
      <c r="M27" s="76">
        <f t="shared" si="0"/>
        <v>1.225363139258385</v>
      </c>
      <c r="O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79"/>
      <c r="BO27" s="79"/>
    </row>
    <row r="28" spans="1:68" ht="14.45">
      <c r="A28" s="49"/>
      <c r="B28" s="72">
        <v>2010</v>
      </c>
      <c r="C28" s="73">
        <v>223.55799999999999</v>
      </c>
      <c r="D28" s="72">
        <f>0.49933*1000</f>
        <v>499.33</v>
      </c>
      <c r="E28" s="74"/>
      <c r="F28" s="74"/>
      <c r="G28" s="74"/>
      <c r="I28" s="49"/>
      <c r="J28" s="72" t="s">
        <v>46</v>
      </c>
      <c r="K28" s="74">
        <v>88.433333329999996</v>
      </c>
      <c r="L28" s="72">
        <v>2010</v>
      </c>
      <c r="M28" s="76">
        <f t="shared" si="0"/>
        <v>1.2035393894158892</v>
      </c>
      <c r="N28" s="78"/>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79"/>
      <c r="BO28" s="79"/>
    </row>
    <row r="29" spans="1:68" ht="14.45">
      <c r="A29" s="49"/>
      <c r="B29" s="72">
        <v>2011</v>
      </c>
      <c r="C29" s="73">
        <v>235.18</v>
      </c>
      <c r="D29" s="72">
        <f>0.49056*1000</f>
        <v>490.56</v>
      </c>
      <c r="E29" s="74">
        <f>13.5*$C$35/C33</f>
        <v>14.22754230459307</v>
      </c>
      <c r="F29" s="74">
        <f>E29*'ON-P Fixed Inputs'!M29</f>
        <v>16.657218921920744</v>
      </c>
      <c r="G29" s="80">
        <f t="shared" ref="G29:G92" si="1">D29/1000</f>
        <v>0.49056</v>
      </c>
      <c r="I29" s="49"/>
      <c r="J29" s="72" t="s">
        <v>47</v>
      </c>
      <c r="K29" s="74">
        <v>90.908333330000005</v>
      </c>
      <c r="L29" s="72">
        <v>2011</v>
      </c>
      <c r="M29" s="76">
        <f t="shared" si="0"/>
        <v>1.1707727564825656</v>
      </c>
      <c r="N29" s="49"/>
      <c r="O29" s="49"/>
      <c r="P29" s="81"/>
      <c r="Q29" s="81"/>
      <c r="R29" s="81"/>
      <c r="S29" s="81"/>
      <c r="T29" s="81"/>
      <c r="U29" s="81"/>
      <c r="V29" s="81"/>
      <c r="W29" s="81"/>
      <c r="X29" s="81"/>
      <c r="Y29" s="81"/>
      <c r="Z29" s="81"/>
      <c r="AA29" s="81"/>
      <c r="AB29" s="49"/>
      <c r="AC29" s="49"/>
      <c r="AD29" s="49"/>
      <c r="AE29" s="49"/>
      <c r="AF29" s="49"/>
      <c r="AG29" s="81"/>
      <c r="AH29" s="81"/>
      <c r="AI29" s="81"/>
      <c r="AJ29" s="82"/>
      <c r="AK29" s="82"/>
      <c r="AL29" s="82"/>
      <c r="AM29" s="82"/>
      <c r="AN29" s="82"/>
      <c r="AO29" s="82"/>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79"/>
      <c r="BO29" s="79"/>
    </row>
    <row r="30" spans="1:68" ht="14.45">
      <c r="A30" s="49"/>
      <c r="B30" s="72">
        <v>2012</v>
      </c>
      <c r="C30" s="73">
        <v>242.72499999999999</v>
      </c>
      <c r="D30" s="72">
        <f>0.55389*1000</f>
        <v>553.89</v>
      </c>
      <c r="E30" s="74">
        <f>5.76*$C$35/C33</f>
        <v>6.0704180499597102</v>
      </c>
      <c r="F30" s="74">
        <f>E30*'ON-P Fixed Inputs'!M30</f>
        <v>6.8508559264914535</v>
      </c>
      <c r="G30" s="80">
        <f t="shared" si="1"/>
        <v>0.55388999999999999</v>
      </c>
      <c r="I30" s="49"/>
      <c r="J30" s="72" t="s">
        <v>48</v>
      </c>
      <c r="K30" s="74">
        <v>94.308333329999996</v>
      </c>
      <c r="L30" s="72">
        <v>2012</v>
      </c>
      <c r="M30" s="76">
        <f t="shared" si="0"/>
        <v>1.1285641071354093</v>
      </c>
      <c r="N30" s="49"/>
      <c r="O30" s="49"/>
      <c r="P30" s="81"/>
      <c r="Q30" s="81"/>
      <c r="AL30" s="82"/>
      <c r="AM30" s="82"/>
      <c r="AN30" s="82"/>
      <c r="AO30" s="83"/>
      <c r="AP30" s="45"/>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79"/>
      <c r="BO30" s="79"/>
    </row>
    <row r="31" spans="1:68" ht="14.45">
      <c r="A31" s="49"/>
      <c r="B31" s="72">
        <v>2013</v>
      </c>
      <c r="C31" s="73">
        <v>250.10833333333335</v>
      </c>
      <c r="D31" s="72">
        <f>0.5187*1000</f>
        <v>518.70000000000005</v>
      </c>
      <c r="E31" s="74">
        <f>3.49*$C$35/C33</f>
        <v>3.6780831587429494</v>
      </c>
      <c r="F31" s="74">
        <f>E31*'ON-P Fixed Inputs'!M31</f>
        <v>4.0531778241380394</v>
      </c>
      <c r="G31" s="80">
        <f t="shared" si="1"/>
        <v>0.51870000000000005</v>
      </c>
      <c r="I31" s="49"/>
      <c r="J31" s="72" t="s">
        <v>49</v>
      </c>
      <c r="K31" s="74">
        <v>96.583333330000002</v>
      </c>
      <c r="L31" s="72">
        <v>2013</v>
      </c>
      <c r="M31" s="76">
        <f t="shared" si="0"/>
        <v>1.1019810181571004</v>
      </c>
      <c r="N31" s="49"/>
      <c r="O31" s="49"/>
      <c r="P31" s="81"/>
      <c r="Q31" s="81"/>
      <c r="AL31" s="82"/>
      <c r="AM31" s="82"/>
      <c r="AN31" s="82"/>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79"/>
      <c r="BO31" s="79"/>
    </row>
    <row r="32" spans="1:68" ht="18" customHeight="1">
      <c r="A32" s="49"/>
      <c r="B32" s="72">
        <v>2014</v>
      </c>
      <c r="C32" s="73">
        <v>256.0333333333333</v>
      </c>
      <c r="D32" s="72">
        <f>0.46534*1000</f>
        <v>465.34</v>
      </c>
      <c r="E32" s="74">
        <f>4.48*$C$35/C33</f>
        <v>4.7214362610797753</v>
      </c>
      <c r="F32" s="74">
        <f>E32*'ON-P Fixed Inputs'!M32</f>
        <v>5.096517500765759</v>
      </c>
      <c r="G32" s="80">
        <f t="shared" si="1"/>
        <v>0.46533999999999998</v>
      </c>
      <c r="I32" s="49"/>
      <c r="J32" s="72" t="s">
        <v>50</v>
      </c>
      <c r="K32" s="74">
        <v>98.6</v>
      </c>
      <c r="L32" s="72">
        <v>2014</v>
      </c>
      <c r="M32" s="76">
        <f t="shared" si="0"/>
        <v>1.0794421906693714</v>
      </c>
      <c r="N32" s="49"/>
      <c r="O32" s="49"/>
      <c r="P32" s="81"/>
      <c r="Q32" s="81"/>
      <c r="AL32" s="82"/>
      <c r="AM32" s="82"/>
      <c r="AN32" s="84"/>
      <c r="AO32" s="85"/>
      <c r="AP32" s="85"/>
      <c r="AQ32" s="85"/>
      <c r="AR32" s="49"/>
      <c r="AS32" s="49"/>
      <c r="AT32" s="49"/>
      <c r="AU32" s="49"/>
      <c r="AV32" s="49"/>
      <c r="AW32" s="49"/>
      <c r="AX32" s="49"/>
      <c r="AY32" s="49"/>
      <c r="AZ32" s="49"/>
      <c r="BA32" s="49"/>
      <c r="BB32" s="49"/>
      <c r="BC32" s="49"/>
      <c r="BD32" s="49"/>
      <c r="BE32" s="49"/>
      <c r="BF32" s="49"/>
      <c r="BG32" s="49"/>
      <c r="BH32" s="49"/>
      <c r="BI32" s="49"/>
      <c r="BJ32" s="49"/>
      <c r="BK32" s="49"/>
      <c r="BL32" s="49"/>
      <c r="BM32" s="49"/>
      <c r="BN32" s="79"/>
      <c r="BO32" s="79"/>
    </row>
    <row r="33" spans="1:67" ht="14.45">
      <c r="A33" s="49"/>
      <c r="B33" s="72">
        <v>2015</v>
      </c>
      <c r="C33" s="73">
        <v>258.54166666666669</v>
      </c>
      <c r="D33" s="72">
        <f>0.39412*1000</f>
        <v>394.12</v>
      </c>
      <c r="E33" s="74">
        <f>5.94*$C$35/C33</f>
        <v>6.2601186140209517</v>
      </c>
      <c r="F33" s="74">
        <f>E33*'ON-P Fixed Inputs'!M33</f>
        <v>6.6812053591987164</v>
      </c>
      <c r="G33" s="80">
        <f t="shared" si="1"/>
        <v>0.39412000000000003</v>
      </c>
      <c r="I33" s="49"/>
      <c r="J33" s="72" t="s">
        <v>51</v>
      </c>
      <c r="K33" s="74">
        <v>99.724999999999994</v>
      </c>
      <c r="L33" s="72">
        <v>2015</v>
      </c>
      <c r="M33" s="76">
        <f t="shared" si="0"/>
        <v>1.0672649786914015</v>
      </c>
      <c r="N33" s="49"/>
      <c r="O33" s="49"/>
      <c r="P33" s="81"/>
      <c r="Q33" s="81"/>
      <c r="AL33" s="86"/>
      <c r="AM33" s="87"/>
      <c r="AN33" s="88"/>
      <c r="AO33" s="89"/>
      <c r="AP33" s="89"/>
      <c r="AQ33" s="81"/>
      <c r="AR33" s="49"/>
      <c r="AS33" s="49"/>
      <c r="AT33" s="49"/>
      <c r="AU33" s="49"/>
      <c r="AV33" s="49"/>
      <c r="AW33" s="49"/>
      <c r="AX33" s="49"/>
      <c r="AY33" s="49"/>
      <c r="AZ33" s="49"/>
      <c r="BA33" s="49"/>
      <c r="BB33" s="49"/>
      <c r="BC33" s="49"/>
      <c r="BD33" s="49"/>
      <c r="BE33" s="49"/>
      <c r="BF33" s="49"/>
      <c r="BG33" s="49"/>
      <c r="BH33" s="49"/>
      <c r="BI33" s="49"/>
      <c r="BJ33" s="49"/>
      <c r="BK33" s="49"/>
      <c r="BL33" s="49"/>
      <c r="BM33" s="49"/>
      <c r="BN33" s="79"/>
      <c r="BO33" s="79"/>
    </row>
    <row r="34" spans="1:67" ht="14.45">
      <c r="A34" s="49"/>
      <c r="B34" s="72">
        <v>2016</v>
      </c>
      <c r="C34" s="73">
        <v>263.05</v>
      </c>
      <c r="D34" s="72">
        <f>0.30913*1000</f>
        <v>309.13</v>
      </c>
      <c r="E34" s="74">
        <f>4.18*$C$35/C34</f>
        <v>4.3297681049230183</v>
      </c>
      <c r="F34" s="74">
        <f>E34*'ON-P Fixed Inputs'!M34</f>
        <v>4.6006343616430998</v>
      </c>
      <c r="G34" s="80">
        <f t="shared" si="1"/>
        <v>0.30913000000000002</v>
      </c>
      <c r="I34" s="49"/>
      <c r="J34" s="72" t="s">
        <v>52</v>
      </c>
      <c r="K34" s="74">
        <v>100.16666669999999</v>
      </c>
      <c r="L34" s="72">
        <v>2016</v>
      </c>
      <c r="M34" s="76">
        <f t="shared" si="0"/>
        <v>1.062559067866037</v>
      </c>
      <c r="N34" s="49"/>
      <c r="O34" s="49"/>
      <c r="P34" s="81"/>
      <c r="Q34" s="81"/>
      <c r="AL34" s="89"/>
      <c r="AM34" s="49"/>
      <c r="AN34" s="88"/>
      <c r="AO34" s="89"/>
      <c r="AP34" s="89"/>
      <c r="AQ34" s="81"/>
      <c r="AR34" s="49"/>
      <c r="AS34" s="49"/>
      <c r="AT34" s="49"/>
      <c r="AU34" s="49"/>
      <c r="AV34" s="49"/>
      <c r="AW34" s="49"/>
      <c r="AX34" s="49"/>
      <c r="AY34" s="49"/>
      <c r="AZ34" s="49"/>
      <c r="BA34" s="49"/>
      <c r="BB34" s="49"/>
      <c r="BC34" s="49"/>
      <c r="BD34" s="49"/>
      <c r="BE34" s="49"/>
      <c r="BF34" s="49"/>
      <c r="BG34" s="49"/>
      <c r="BH34" s="49"/>
      <c r="BI34" s="49"/>
      <c r="BJ34" s="49"/>
      <c r="BK34" s="49"/>
      <c r="BL34" s="49"/>
      <c r="BM34" s="49"/>
      <c r="BN34" s="79"/>
      <c r="BO34" s="79"/>
    </row>
    <row r="35" spans="1:67" ht="14.45">
      <c r="A35" s="46">
        <v>1</v>
      </c>
      <c r="B35" s="72">
        <v>2017</v>
      </c>
      <c r="C35" s="73">
        <v>272.47500000000002</v>
      </c>
      <c r="D35" s="74">
        <v>384.43</v>
      </c>
      <c r="E35" s="74">
        <v>4.13</v>
      </c>
      <c r="F35" s="74">
        <f>E35*'ON-P Fixed Inputs'!M35</f>
        <v>4.3289449965272242</v>
      </c>
      <c r="G35" s="80">
        <f t="shared" si="1"/>
        <v>0.38442999999999999</v>
      </c>
      <c r="I35" s="46">
        <v>1</v>
      </c>
      <c r="J35" s="72" t="s">
        <v>53</v>
      </c>
      <c r="K35" s="74">
        <v>101.54166669999999</v>
      </c>
      <c r="L35" s="72">
        <v>2017</v>
      </c>
      <c r="M35" s="76">
        <f t="shared" si="0"/>
        <v>1.048170701338311</v>
      </c>
      <c r="N35" s="49"/>
      <c r="O35" s="49"/>
      <c r="P35" s="81"/>
      <c r="Q35" s="81"/>
      <c r="AL35" s="89"/>
      <c r="AM35" s="49"/>
      <c r="AN35" s="88"/>
      <c r="AO35" s="89"/>
      <c r="AP35" s="89"/>
      <c r="AQ35" s="81"/>
      <c r="AR35" s="49"/>
      <c r="AS35" s="49"/>
      <c r="AT35" s="49"/>
      <c r="AU35" s="49"/>
      <c r="AV35" s="49"/>
      <c r="AW35" s="49"/>
      <c r="AX35" s="49"/>
      <c r="AY35" s="49"/>
      <c r="AZ35" s="49"/>
      <c r="BA35" s="49"/>
      <c r="BB35" s="49"/>
      <c r="BC35" s="49"/>
      <c r="BD35" s="49"/>
      <c r="BE35" s="49"/>
      <c r="BF35" s="49"/>
      <c r="BG35" s="49"/>
      <c r="BH35" s="49"/>
      <c r="BI35" s="49"/>
      <c r="BJ35" s="49"/>
      <c r="BK35" s="49"/>
      <c r="BL35" s="49"/>
      <c r="BM35" s="49"/>
      <c r="BN35" s="79"/>
      <c r="BO35" s="79"/>
    </row>
    <row r="36" spans="1:67" ht="14.45">
      <c r="A36" s="46">
        <v>2</v>
      </c>
      <c r="B36" s="72">
        <v>2018</v>
      </c>
      <c r="C36" s="73">
        <v>282.01162499999998</v>
      </c>
      <c r="D36" s="74">
        <v>373.08363636363634</v>
      </c>
      <c r="E36" s="74">
        <v>4.1900000000000004</v>
      </c>
      <c r="F36" s="74">
        <f>E36*'ON-P Fixed Inputs'!M36</f>
        <v>4.2791070192614411</v>
      </c>
      <c r="G36" s="80">
        <f t="shared" si="1"/>
        <v>0.37308363636363634</v>
      </c>
      <c r="I36" s="46">
        <v>2</v>
      </c>
      <c r="J36" s="72" t="s">
        <v>54</v>
      </c>
      <c r="K36" s="74">
        <v>104.2166667</v>
      </c>
      <c r="L36" s="72">
        <v>2018</v>
      </c>
      <c r="M36" s="76">
        <f t="shared" si="0"/>
        <v>1.0212665917091743</v>
      </c>
      <c r="N36" s="49"/>
      <c r="O36" s="49"/>
      <c r="P36" s="81"/>
      <c r="Q36" s="81"/>
      <c r="AL36" s="89"/>
      <c r="AM36" s="89"/>
      <c r="AN36" s="89"/>
      <c r="AO36" s="89"/>
      <c r="AP36" s="89"/>
      <c r="AQ36" s="81"/>
      <c r="AR36" s="49"/>
      <c r="AS36" s="49"/>
      <c r="AT36" s="49"/>
      <c r="AU36" s="49"/>
      <c r="AV36" s="49"/>
      <c r="AW36" s="49"/>
      <c r="AX36" s="49"/>
      <c r="AY36" s="49"/>
      <c r="AZ36" s="49"/>
      <c r="BA36" s="49"/>
      <c r="BB36" s="49"/>
      <c r="BC36" s="49"/>
      <c r="BD36" s="49"/>
      <c r="BE36" s="49"/>
      <c r="BF36" s="49"/>
      <c r="BG36" s="49"/>
      <c r="BH36" s="49"/>
      <c r="BI36" s="49"/>
      <c r="BJ36" s="49"/>
      <c r="BK36" s="49"/>
      <c r="BL36" s="49"/>
      <c r="BM36" s="49"/>
      <c r="BN36" s="79"/>
      <c r="BO36" s="79"/>
    </row>
    <row r="37" spans="1:67" ht="14.45">
      <c r="A37" s="46">
        <v>3</v>
      </c>
      <c r="B37" s="72">
        <v>2019</v>
      </c>
      <c r="C37" s="73">
        <v>290.75398537499996</v>
      </c>
      <c r="D37" s="74">
        <v>361.73727272727268</v>
      </c>
      <c r="E37" s="74">
        <v>4.37</v>
      </c>
      <c r="F37" s="74">
        <f>E37*'ON-P Fixed Inputs'!M37</f>
        <v>4.37</v>
      </c>
      <c r="G37" s="80">
        <f t="shared" si="1"/>
        <v>0.36173727272727269</v>
      </c>
      <c r="I37" s="46">
        <v>3</v>
      </c>
      <c r="J37" s="72" t="s">
        <v>55</v>
      </c>
      <c r="K37" s="74">
        <v>106.43300000000001</v>
      </c>
      <c r="L37" s="72">
        <v>2019</v>
      </c>
      <c r="M37" s="76">
        <f t="shared" si="0"/>
        <v>1</v>
      </c>
      <c r="N37" s="49"/>
      <c r="O37" s="49"/>
      <c r="P37" s="81"/>
      <c r="Q37" s="81"/>
      <c r="AL37" s="89"/>
      <c r="AM37" s="89"/>
      <c r="AN37" s="89"/>
      <c r="AO37" s="89"/>
      <c r="AP37" s="89"/>
      <c r="AQ37" s="81"/>
      <c r="AR37" s="49"/>
      <c r="AS37" s="49"/>
      <c r="AT37" s="49"/>
      <c r="AU37" s="49"/>
      <c r="AV37" s="49"/>
      <c r="AW37" s="49"/>
      <c r="AX37" s="49"/>
      <c r="AY37" s="49"/>
      <c r="AZ37" s="49"/>
      <c r="BA37" s="49"/>
      <c r="BB37" s="49"/>
      <c r="BC37" s="49"/>
      <c r="BD37" s="49"/>
      <c r="BE37" s="49"/>
      <c r="BF37" s="49"/>
      <c r="BG37" s="49"/>
      <c r="BH37" s="49"/>
      <c r="BI37" s="49"/>
      <c r="BJ37" s="49"/>
      <c r="BK37" s="49"/>
      <c r="BL37" s="49"/>
      <c r="BM37" s="49"/>
      <c r="BN37" s="79"/>
      <c r="BO37" s="79"/>
    </row>
    <row r="38" spans="1:67" ht="14.45">
      <c r="A38" s="46">
        <v>4</v>
      </c>
      <c r="B38" s="72">
        <v>2020</v>
      </c>
      <c r="C38" s="73">
        <v>299.47660493624994</v>
      </c>
      <c r="D38" s="74">
        <v>350.39090909090902</v>
      </c>
      <c r="E38" s="74">
        <v>4.5599999999999996</v>
      </c>
      <c r="F38" s="74">
        <f>E38*'ON-P Fixed Inputs'!M38</f>
        <v>4.4705882352941178</v>
      </c>
      <c r="G38" s="80">
        <f t="shared" si="1"/>
        <v>0.35039090909090903</v>
      </c>
      <c r="I38" s="46">
        <v>4</v>
      </c>
      <c r="J38" s="72" t="s">
        <v>56</v>
      </c>
      <c r="K38" s="73">
        <f t="shared" ref="K38:K101" si="2">K37*(1.02)</f>
        <v>108.56166</v>
      </c>
      <c r="L38" s="72">
        <v>2020</v>
      </c>
      <c r="M38" s="76">
        <f t="shared" si="0"/>
        <v>0.98039215686274517</v>
      </c>
      <c r="N38" s="49"/>
      <c r="O38" s="49"/>
      <c r="P38" s="49"/>
      <c r="Q38" s="81"/>
      <c r="AL38" s="89"/>
      <c r="AM38" s="89"/>
      <c r="AN38" s="89"/>
      <c r="AO38" s="89"/>
      <c r="AP38" s="89"/>
      <c r="AQ38" s="81"/>
      <c r="AR38" s="49"/>
      <c r="AS38" s="49"/>
      <c r="AT38" s="49"/>
      <c r="AU38" s="49"/>
      <c r="AV38" s="49"/>
      <c r="AW38" s="49"/>
      <c r="AX38" s="49"/>
      <c r="AY38" s="49"/>
      <c r="AZ38" s="49"/>
      <c r="BA38" s="49"/>
      <c r="BB38" s="49"/>
      <c r="BC38" s="49"/>
      <c r="BD38" s="49"/>
      <c r="BE38" s="49"/>
      <c r="BF38" s="49"/>
      <c r="BG38" s="49"/>
      <c r="BH38" s="49"/>
      <c r="BI38" s="49"/>
      <c r="BJ38" s="49"/>
      <c r="BK38" s="49"/>
      <c r="BL38" s="49"/>
      <c r="BM38" s="49"/>
      <c r="BN38" s="79"/>
      <c r="BO38" s="79"/>
    </row>
    <row r="39" spans="1:67" ht="14.45">
      <c r="A39" s="46">
        <v>5</v>
      </c>
      <c r="B39" s="72">
        <v>2021</v>
      </c>
      <c r="C39" s="73">
        <v>308.46090308433747</v>
      </c>
      <c r="D39" s="74">
        <v>339.04454545454536</v>
      </c>
      <c r="E39" s="74">
        <v>4.76</v>
      </c>
      <c r="F39" s="74">
        <f>E39*'ON-P Fixed Inputs'!M39</f>
        <v>4.5751633986928102</v>
      </c>
      <c r="G39" s="80">
        <f t="shared" si="1"/>
        <v>0.33904454545454538</v>
      </c>
      <c r="I39" s="46">
        <v>5</v>
      </c>
      <c r="J39" s="72" t="s">
        <v>57</v>
      </c>
      <c r="K39" s="73">
        <f t="shared" si="2"/>
        <v>110.73289320000001</v>
      </c>
      <c r="L39" s="72">
        <v>2021</v>
      </c>
      <c r="M39" s="76">
        <f t="shared" si="0"/>
        <v>0.96116878123798544</v>
      </c>
      <c r="N39" s="81"/>
      <c r="O39" s="81"/>
      <c r="P39" s="90"/>
      <c r="Q39" s="81"/>
      <c r="AL39" s="89"/>
      <c r="AM39" s="89"/>
      <c r="AN39" s="89"/>
      <c r="AO39" s="89"/>
      <c r="AP39" s="89"/>
      <c r="AQ39" s="81"/>
      <c r="AR39" s="49"/>
      <c r="AS39" s="49"/>
      <c r="AT39" s="49"/>
      <c r="AU39" s="49"/>
      <c r="AV39" s="49"/>
      <c r="AW39" s="49"/>
      <c r="AX39" s="49"/>
      <c r="AY39" s="49"/>
      <c r="AZ39" s="49"/>
      <c r="BA39" s="49"/>
      <c r="BB39" s="49"/>
      <c r="BC39" s="49"/>
      <c r="BD39" s="49"/>
      <c r="BE39" s="49"/>
      <c r="BF39" s="49"/>
      <c r="BG39" s="49"/>
      <c r="BH39" s="49"/>
      <c r="BI39" s="49"/>
      <c r="BJ39" s="49"/>
      <c r="BK39" s="49"/>
      <c r="BL39" s="49"/>
      <c r="BM39" s="49"/>
      <c r="BN39" s="79"/>
      <c r="BO39" s="79"/>
    </row>
    <row r="40" spans="1:67" ht="14.45">
      <c r="A40" s="46">
        <v>6</v>
      </c>
      <c r="B40" s="72">
        <v>2022</v>
      </c>
      <c r="C40" s="73">
        <v>317.71473017686759</v>
      </c>
      <c r="D40" s="74">
        <v>327.69818181818169</v>
      </c>
      <c r="E40" s="74">
        <v>4.9400000000000004</v>
      </c>
      <c r="F40" s="74">
        <f>E40*'ON-P Fixed Inputs'!M40</f>
        <v>4.6550723326624004</v>
      </c>
      <c r="G40" s="80">
        <f t="shared" si="1"/>
        <v>0.32769818181818172</v>
      </c>
      <c r="I40" s="46">
        <v>6</v>
      </c>
      <c r="J40" s="72" t="s">
        <v>58</v>
      </c>
      <c r="K40" s="73">
        <f t="shared" si="2"/>
        <v>112.94755106400001</v>
      </c>
      <c r="L40" s="72">
        <v>2022</v>
      </c>
      <c r="M40" s="76">
        <f t="shared" si="0"/>
        <v>0.9423223345470445</v>
      </c>
      <c r="N40" s="91"/>
      <c r="O40" s="81"/>
      <c r="P40" s="92"/>
      <c r="Q40" s="93"/>
      <c r="AL40" s="81"/>
      <c r="AM40" s="49"/>
      <c r="AN40" s="49"/>
      <c r="AO40" s="49"/>
      <c r="AP40" s="49"/>
      <c r="AQ40" s="49"/>
      <c r="AR40" s="49"/>
      <c r="AS40" s="49"/>
      <c r="AT40" s="49"/>
      <c r="AU40" s="49"/>
      <c r="AV40" s="49"/>
      <c r="AW40" s="49"/>
      <c r="AX40" s="49"/>
      <c r="AY40" s="49"/>
      <c r="AZ40" s="49"/>
      <c r="BA40" s="49"/>
      <c r="BB40" s="49"/>
      <c r="BC40" s="49"/>
      <c r="BD40" s="49"/>
      <c r="BE40" s="49"/>
      <c r="BF40" s="49"/>
      <c r="BG40" s="49"/>
      <c r="BH40" s="49"/>
      <c r="BI40" s="79"/>
      <c r="BJ40" s="79"/>
    </row>
    <row r="41" spans="1:67" ht="14.45">
      <c r="A41" s="46">
        <v>7</v>
      </c>
      <c r="B41" s="72">
        <v>2023</v>
      </c>
      <c r="C41" s="73">
        <v>327.24617208217364</v>
      </c>
      <c r="D41" s="74">
        <v>316.35181818181803</v>
      </c>
      <c r="E41" s="74">
        <v>6.44</v>
      </c>
      <c r="F41" s="74">
        <f>E41*'ON-P Fixed Inputs'!M41</f>
        <v>5.9495645436107516</v>
      </c>
      <c r="G41" s="80">
        <f t="shared" si="1"/>
        <v>0.31635181818181801</v>
      </c>
      <c r="I41" s="46">
        <v>7</v>
      </c>
      <c r="J41" s="72" t="s">
        <v>59</v>
      </c>
      <c r="K41" s="73">
        <f t="shared" si="2"/>
        <v>115.20650208528001</v>
      </c>
      <c r="L41" s="72">
        <v>2023</v>
      </c>
      <c r="M41" s="76">
        <f t="shared" si="0"/>
        <v>0.9238454260265142</v>
      </c>
      <c r="N41" s="91"/>
      <c r="O41" s="81"/>
      <c r="P41" s="92"/>
      <c r="Q41" s="93"/>
      <c r="R41" s="81"/>
      <c r="S41" s="94"/>
      <c r="T41" s="93"/>
      <c r="U41" s="93"/>
      <c r="V41" s="93"/>
      <c r="W41" s="93"/>
      <c r="X41" s="49"/>
      <c r="Y41" s="95"/>
      <c r="Z41" s="93"/>
      <c r="AA41" s="93"/>
      <c r="AB41" s="93"/>
      <c r="AC41" s="93"/>
      <c r="AD41" s="81"/>
      <c r="AE41" s="95"/>
      <c r="AF41" s="95"/>
      <c r="AG41" s="89"/>
      <c r="AH41" s="89"/>
      <c r="AI41" s="89"/>
      <c r="AJ41" s="89"/>
      <c r="AK41" s="89"/>
      <c r="AL41" s="81"/>
      <c r="AM41" s="49"/>
      <c r="AN41" s="49"/>
      <c r="AO41" s="49"/>
      <c r="AP41" s="49"/>
      <c r="AQ41" s="49"/>
      <c r="AR41" s="49"/>
      <c r="AS41" s="49"/>
      <c r="AT41" s="49"/>
      <c r="AU41" s="49"/>
      <c r="AV41" s="49"/>
      <c r="AW41" s="49"/>
      <c r="AX41" s="49"/>
      <c r="AY41" s="49"/>
      <c r="AZ41" s="49"/>
      <c r="BA41" s="49"/>
      <c r="BB41" s="49"/>
      <c r="BC41" s="49"/>
      <c r="BD41" s="49"/>
      <c r="BE41" s="49"/>
      <c r="BF41" s="49"/>
      <c r="BG41" s="49"/>
      <c r="BH41" s="49"/>
      <c r="BI41" s="79"/>
      <c r="BJ41" s="79"/>
    </row>
    <row r="42" spans="1:67" ht="14.45">
      <c r="A42" s="46">
        <v>8</v>
      </c>
      <c r="B42" s="72">
        <v>2024</v>
      </c>
      <c r="C42" s="73">
        <v>337.06355724463884</v>
      </c>
      <c r="D42" s="74">
        <v>305.00545454545437</v>
      </c>
      <c r="E42" s="74">
        <v>10.18</v>
      </c>
      <c r="F42" s="74">
        <f>E42*'ON-P Fixed Inputs'!M42</f>
        <v>9.2203396440685434</v>
      </c>
      <c r="G42" s="80">
        <f t="shared" si="1"/>
        <v>0.30500545454545436</v>
      </c>
      <c r="I42" s="46">
        <v>8</v>
      </c>
      <c r="J42" s="72" t="s">
        <v>60</v>
      </c>
      <c r="K42" s="73">
        <f t="shared" si="2"/>
        <v>117.51063212698561</v>
      </c>
      <c r="L42" s="72">
        <v>2024</v>
      </c>
      <c r="M42" s="76">
        <f t="shared" si="0"/>
        <v>0.90573080982991583</v>
      </c>
      <c r="N42" s="91"/>
      <c r="O42" s="81"/>
      <c r="P42" s="153"/>
      <c r="Q42" s="153"/>
      <c r="R42" s="81"/>
      <c r="S42" s="94"/>
      <c r="T42" s="93"/>
      <c r="U42" s="93"/>
      <c r="V42" s="93"/>
      <c r="W42" s="93"/>
      <c r="X42" s="49"/>
      <c r="Y42" s="95"/>
      <c r="Z42" s="93"/>
      <c r="AA42" s="93"/>
      <c r="AB42" s="93"/>
      <c r="AC42" s="93"/>
      <c r="AD42" s="81"/>
      <c r="AE42" s="95"/>
      <c r="AF42" s="95"/>
      <c r="AG42" s="89"/>
      <c r="AH42" s="89"/>
      <c r="AI42" s="89"/>
      <c r="AJ42" s="89"/>
      <c r="AK42" s="89"/>
      <c r="AL42" s="81"/>
      <c r="AM42" s="49"/>
      <c r="AN42" s="49"/>
      <c r="AO42" s="49"/>
      <c r="AP42" s="49"/>
      <c r="AQ42" s="49"/>
      <c r="AR42" s="49"/>
      <c r="AS42" s="49"/>
      <c r="AT42" s="49"/>
      <c r="AU42" s="49"/>
      <c r="AV42" s="49"/>
      <c r="AW42" s="49"/>
      <c r="AX42" s="49"/>
      <c r="AY42" s="49"/>
      <c r="AZ42" s="49"/>
      <c r="BA42" s="49"/>
      <c r="BB42" s="49"/>
      <c r="BC42" s="49"/>
      <c r="BD42" s="49"/>
      <c r="BE42" s="49"/>
      <c r="BF42" s="49"/>
      <c r="BG42" s="49"/>
      <c r="BH42" s="49"/>
      <c r="BI42" s="79"/>
      <c r="BJ42" s="79"/>
    </row>
    <row r="43" spans="1:67" ht="14.45">
      <c r="A43" s="46">
        <v>9</v>
      </c>
      <c r="B43" s="72">
        <v>2025</v>
      </c>
      <c r="C43" s="73">
        <v>347.17546396197804</v>
      </c>
      <c r="D43" s="74">
        <v>293.65909090909071</v>
      </c>
      <c r="E43" s="74">
        <v>13.21</v>
      </c>
      <c r="F43" s="74">
        <f>E43*'ON-P Fixed Inputs'!M43</f>
        <v>11.730101958679597</v>
      </c>
      <c r="G43" s="80">
        <f t="shared" si="1"/>
        <v>0.2936590909090907</v>
      </c>
      <c r="I43" s="46">
        <v>9</v>
      </c>
      <c r="J43" s="72" t="s">
        <v>61</v>
      </c>
      <c r="K43" s="73">
        <f t="shared" si="2"/>
        <v>119.86084476952533</v>
      </c>
      <c r="L43" s="72">
        <v>2025</v>
      </c>
      <c r="M43" s="76">
        <f t="shared" si="0"/>
        <v>0.88797138218619198</v>
      </c>
      <c r="N43" s="91"/>
      <c r="O43" s="81"/>
      <c r="P43" s="147"/>
      <c r="Q43" s="147"/>
      <c r="R43" s="81"/>
      <c r="S43" s="94"/>
      <c r="T43" s="93"/>
      <c r="U43" s="93"/>
      <c r="V43" s="93"/>
      <c r="W43" s="93"/>
      <c r="X43" s="49"/>
      <c r="Y43" s="95"/>
      <c r="Z43" s="93"/>
      <c r="AA43" s="93"/>
      <c r="AB43" s="93"/>
      <c r="AC43" s="93"/>
      <c r="AD43" s="81"/>
      <c r="AE43" s="95"/>
      <c r="AF43" s="95"/>
      <c r="AG43" s="89"/>
      <c r="AH43" s="89"/>
      <c r="AI43" s="89"/>
      <c r="AJ43" s="89"/>
      <c r="AK43" s="89"/>
      <c r="AL43" s="81"/>
      <c r="AM43" s="49"/>
      <c r="AN43" s="49"/>
      <c r="AO43" s="49"/>
      <c r="AP43" s="49"/>
      <c r="AQ43" s="49"/>
      <c r="AR43" s="49"/>
      <c r="AS43" s="49"/>
      <c r="AT43" s="49"/>
      <c r="AU43" s="49"/>
      <c r="AV43" s="49"/>
      <c r="AW43" s="49"/>
      <c r="AX43" s="49"/>
      <c r="AY43" s="49"/>
      <c r="AZ43" s="49"/>
      <c r="BA43" s="49"/>
      <c r="BB43" s="49"/>
      <c r="BC43" s="49"/>
      <c r="BD43" s="49"/>
      <c r="BE43" s="49"/>
      <c r="BF43" s="49"/>
      <c r="BG43" s="49"/>
      <c r="BH43" s="49"/>
      <c r="BI43" s="79"/>
      <c r="BJ43" s="79"/>
    </row>
    <row r="44" spans="1:67" ht="14.45">
      <c r="A44" s="46">
        <v>10</v>
      </c>
      <c r="B44" s="72">
        <v>2026</v>
      </c>
      <c r="C44" s="73">
        <v>357.59072788083739</v>
      </c>
      <c r="D44" s="74">
        <v>282.31272727272705</v>
      </c>
      <c r="E44" s="74">
        <v>17.829999999999998</v>
      </c>
      <c r="F44" s="74">
        <f>E44*'ON-P Fixed Inputs'!M44</f>
        <v>15.522087984686079</v>
      </c>
      <c r="G44" s="80">
        <f t="shared" si="1"/>
        <v>0.28231272727272705</v>
      </c>
      <c r="I44" s="46">
        <v>10</v>
      </c>
      <c r="J44" s="72" t="s">
        <v>62</v>
      </c>
      <c r="K44" s="73">
        <f t="shared" si="2"/>
        <v>122.25806166491584</v>
      </c>
      <c r="L44" s="72">
        <v>2026</v>
      </c>
      <c r="M44" s="76">
        <f t="shared" si="0"/>
        <v>0.87056017861391366</v>
      </c>
      <c r="N44" s="91"/>
      <c r="O44" s="81"/>
      <c r="P44" s="147"/>
      <c r="Q44" s="147"/>
      <c r="R44" s="81"/>
      <c r="S44" s="94"/>
      <c r="T44" s="93"/>
      <c r="U44" s="93"/>
      <c r="V44" s="93"/>
      <c r="W44" s="93"/>
      <c r="X44" s="49"/>
      <c r="Y44" s="95"/>
      <c r="Z44" s="93"/>
      <c r="AA44" s="93"/>
      <c r="AB44" s="93"/>
      <c r="AC44" s="93"/>
      <c r="AD44" s="81"/>
      <c r="AE44" s="95"/>
      <c r="AF44" s="95"/>
      <c r="AG44" s="89"/>
      <c r="AH44" s="89"/>
      <c r="AI44" s="89"/>
      <c r="AJ44" s="89"/>
      <c r="AK44" s="89"/>
      <c r="AL44" s="81"/>
      <c r="AM44" s="49"/>
      <c r="AN44" s="49"/>
      <c r="AO44" s="49"/>
      <c r="AP44" s="49"/>
      <c r="AQ44" s="49"/>
      <c r="AR44" s="49"/>
      <c r="AS44" s="49"/>
      <c r="AT44" s="49"/>
      <c r="AU44" s="49"/>
      <c r="AV44" s="49"/>
      <c r="AW44" s="49"/>
      <c r="AX44" s="49"/>
      <c r="AY44" s="49"/>
      <c r="AZ44" s="49"/>
      <c r="BA44" s="49"/>
      <c r="BB44" s="49"/>
      <c r="BC44" s="49"/>
      <c r="BD44" s="49"/>
      <c r="BE44" s="49"/>
      <c r="BF44" s="49"/>
      <c r="BG44" s="49"/>
      <c r="BH44" s="49"/>
      <c r="BI44" s="79"/>
      <c r="BJ44" s="79"/>
    </row>
    <row r="45" spans="1:67" ht="14.45">
      <c r="A45" s="46">
        <v>11</v>
      </c>
      <c r="B45" s="72">
        <v>2027</v>
      </c>
      <c r="C45" s="73">
        <v>368.31844971726252</v>
      </c>
      <c r="D45" s="74">
        <v>270.96636363636338</v>
      </c>
      <c r="E45" s="74">
        <v>24.2</v>
      </c>
      <c r="F45" s="74">
        <f>E45*'ON-P Fixed Inputs'!M45</f>
        <v>20.654466982800695</v>
      </c>
      <c r="G45" s="80">
        <f t="shared" si="1"/>
        <v>0.27096636363636339</v>
      </c>
      <c r="I45" s="46">
        <v>11</v>
      </c>
      <c r="J45" s="72" t="s">
        <v>63</v>
      </c>
      <c r="K45" s="73">
        <f t="shared" si="2"/>
        <v>124.70322289821416</v>
      </c>
      <c r="L45" s="72">
        <v>2027</v>
      </c>
      <c r="M45" s="76">
        <f t="shared" si="0"/>
        <v>0.8534903711901114</v>
      </c>
      <c r="N45" s="91"/>
      <c r="O45" s="81"/>
      <c r="P45" s="147"/>
      <c r="Q45" s="147"/>
      <c r="R45" s="81"/>
      <c r="S45" s="94"/>
      <c r="T45" s="93"/>
      <c r="U45" s="93"/>
      <c r="V45" s="93"/>
      <c r="W45" s="93"/>
      <c r="X45" s="49"/>
      <c r="Y45" s="95"/>
      <c r="Z45" s="93"/>
      <c r="AA45" s="93"/>
      <c r="AB45" s="93"/>
      <c r="AC45" s="93"/>
      <c r="AD45" s="81"/>
      <c r="AE45" s="95"/>
      <c r="AF45" s="95"/>
      <c r="AG45" s="89"/>
      <c r="AH45" s="89"/>
      <c r="AI45" s="89"/>
      <c r="AJ45" s="89"/>
      <c r="AK45" s="89"/>
      <c r="AL45" s="81"/>
      <c r="AM45" s="49"/>
      <c r="AN45" s="49"/>
      <c r="AO45" s="49"/>
      <c r="AP45" s="49"/>
      <c r="AQ45" s="49"/>
      <c r="AR45" s="49"/>
      <c r="AS45" s="49"/>
      <c r="AT45" s="49"/>
      <c r="AU45" s="49"/>
      <c r="AV45" s="49"/>
      <c r="AW45" s="49"/>
      <c r="AX45" s="49"/>
      <c r="AY45" s="49"/>
      <c r="AZ45" s="49"/>
      <c r="BA45" s="49"/>
      <c r="BB45" s="49"/>
      <c r="BC45" s="49"/>
      <c r="BD45" s="49"/>
      <c r="BE45" s="49"/>
      <c r="BF45" s="49"/>
      <c r="BG45" s="49"/>
      <c r="BH45" s="49"/>
      <c r="BI45" s="79"/>
      <c r="BJ45" s="79"/>
    </row>
    <row r="46" spans="1:67" ht="14.45">
      <c r="A46" s="46">
        <v>12</v>
      </c>
      <c r="B46" s="72">
        <v>2028</v>
      </c>
      <c r="C46" s="73">
        <v>379.36800320878041</v>
      </c>
      <c r="D46" s="74">
        <v>259.61999999999972</v>
      </c>
      <c r="E46" s="74">
        <v>28.82</v>
      </c>
      <c r="F46" s="74">
        <f>E46*'ON-P Fixed Inputs'!M46</f>
        <v>24.115286762450012</v>
      </c>
      <c r="G46" s="80">
        <f t="shared" si="1"/>
        <v>0.25961999999999974</v>
      </c>
      <c r="I46" s="46">
        <v>12</v>
      </c>
      <c r="J46" s="72" t="s">
        <v>64</v>
      </c>
      <c r="K46" s="73">
        <f t="shared" si="2"/>
        <v>127.19728735617845</v>
      </c>
      <c r="L46" s="72">
        <v>2028</v>
      </c>
      <c r="M46" s="76">
        <f t="shared" si="0"/>
        <v>0.83675526587265825</v>
      </c>
      <c r="N46" s="91"/>
      <c r="O46" s="81"/>
      <c r="P46" s="96"/>
      <c r="Q46" s="93"/>
      <c r="R46" s="81"/>
      <c r="S46" s="94"/>
      <c r="T46" s="93"/>
      <c r="U46" s="93"/>
      <c r="V46" s="93"/>
      <c r="W46" s="93"/>
      <c r="X46" s="97"/>
      <c r="Y46" s="95"/>
      <c r="Z46" s="93"/>
      <c r="AA46" s="93"/>
      <c r="AB46" s="93"/>
      <c r="AC46" s="93"/>
      <c r="AD46" s="81"/>
      <c r="AE46" s="95"/>
      <c r="AF46" s="95"/>
      <c r="AG46" s="89"/>
      <c r="AH46" s="89"/>
      <c r="AI46" s="89"/>
      <c r="AJ46" s="89"/>
      <c r="AK46" s="89"/>
      <c r="AL46" s="81"/>
      <c r="AM46" s="49"/>
      <c r="AN46" s="49"/>
      <c r="AO46" s="49"/>
      <c r="AP46" s="49"/>
      <c r="AQ46" s="49"/>
      <c r="AR46" s="49"/>
      <c r="AS46" s="49"/>
      <c r="AT46" s="49"/>
      <c r="AU46" s="49"/>
      <c r="AV46" s="49"/>
      <c r="AW46" s="49"/>
      <c r="AX46" s="49"/>
      <c r="AY46" s="49"/>
      <c r="AZ46" s="49"/>
      <c r="BA46" s="49"/>
      <c r="BB46" s="49"/>
      <c r="BC46" s="49"/>
      <c r="BD46" s="49"/>
      <c r="BE46" s="49"/>
      <c r="BF46" s="49"/>
      <c r="BG46" s="49"/>
      <c r="BH46" s="49"/>
      <c r="BI46" s="79"/>
      <c r="BJ46" s="79"/>
    </row>
    <row r="47" spans="1:67" ht="14.45">
      <c r="A47" s="46">
        <v>13</v>
      </c>
      <c r="B47" s="72">
        <v>2029</v>
      </c>
      <c r="C47" s="73">
        <v>390.74904330504381</v>
      </c>
      <c r="D47" s="74">
        <v>248.27363636363609</v>
      </c>
      <c r="E47" s="74">
        <v>32.979999999999997</v>
      </c>
      <c r="F47" s="74">
        <f>E47*'ON-P Fixed Inputs'!M47</f>
        <v>27.055086929882613</v>
      </c>
      <c r="G47" s="80">
        <f t="shared" si="1"/>
        <v>0.24827363636363609</v>
      </c>
      <c r="I47" s="46">
        <v>13</v>
      </c>
      <c r="J47" s="72" t="s">
        <v>65</v>
      </c>
      <c r="K47" s="73">
        <f t="shared" si="2"/>
        <v>129.74123310330202</v>
      </c>
      <c r="L47" s="72">
        <v>2029</v>
      </c>
      <c r="M47" s="76">
        <f t="shared" si="0"/>
        <v>0.82034829987515512</v>
      </c>
      <c r="N47" s="91"/>
      <c r="O47" s="81"/>
      <c r="P47" s="98"/>
      <c r="Q47" s="93"/>
      <c r="R47" s="81"/>
      <c r="S47" s="94"/>
      <c r="T47" s="93"/>
      <c r="U47" s="93"/>
      <c r="V47" s="93"/>
      <c r="W47" s="93"/>
      <c r="X47" s="97"/>
      <c r="Y47" s="95"/>
      <c r="Z47" s="93"/>
      <c r="AA47" s="93"/>
      <c r="AB47" s="93"/>
      <c r="AC47" s="93"/>
      <c r="AD47" s="81"/>
      <c r="AE47" s="95"/>
      <c r="AF47" s="95"/>
      <c r="AG47" s="89"/>
      <c r="AH47" s="89"/>
      <c r="AI47" s="89"/>
      <c r="AJ47" s="89"/>
      <c r="AK47" s="89"/>
      <c r="AL47" s="81"/>
      <c r="AM47" s="49"/>
      <c r="AN47" s="49"/>
      <c r="AO47" s="49"/>
      <c r="AP47" s="49"/>
      <c r="AQ47" s="49"/>
      <c r="AR47" s="49"/>
      <c r="AS47" s="49"/>
      <c r="AT47" s="49"/>
      <c r="AU47" s="49"/>
      <c r="AV47" s="49"/>
      <c r="AW47" s="49"/>
      <c r="AX47" s="49"/>
      <c r="AY47" s="49"/>
      <c r="AZ47" s="49"/>
      <c r="BA47" s="49"/>
      <c r="BB47" s="49"/>
      <c r="BC47" s="49"/>
      <c r="BD47" s="49"/>
      <c r="BE47" s="49"/>
      <c r="BF47" s="49"/>
      <c r="BG47" s="49"/>
      <c r="BH47" s="49"/>
      <c r="BI47" s="79"/>
      <c r="BJ47" s="79"/>
    </row>
    <row r="48" spans="1:67" ht="14.45">
      <c r="A48" s="46">
        <v>14</v>
      </c>
      <c r="B48" s="72">
        <v>2030</v>
      </c>
      <c r="C48" s="73">
        <v>402.47151460419514</v>
      </c>
      <c r="D48" s="74">
        <v>236.92727272727245</v>
      </c>
      <c r="E48" s="74">
        <v>39.409999999999997</v>
      </c>
      <c r="F48" s="74">
        <f>E48*'ON-P Fixed Inputs'!M48</f>
        <v>31.696006370666531</v>
      </c>
      <c r="G48" s="80">
        <f t="shared" si="1"/>
        <v>0.23692727272727246</v>
      </c>
      <c r="I48" s="46">
        <v>14</v>
      </c>
      <c r="J48" s="72" t="s">
        <v>66</v>
      </c>
      <c r="K48" s="73">
        <f t="shared" si="2"/>
        <v>132.33605776536805</v>
      </c>
      <c r="L48" s="72">
        <v>2030</v>
      </c>
      <c r="M48" s="76">
        <f t="shared" si="0"/>
        <v>0.80426303909328933</v>
      </c>
      <c r="N48" s="91"/>
      <c r="O48" s="81"/>
      <c r="P48" s="146"/>
      <c r="Q48" s="146"/>
      <c r="R48" s="81"/>
      <c r="S48" s="94"/>
      <c r="T48" s="93"/>
      <c r="U48" s="93"/>
      <c r="V48" s="93"/>
      <c r="W48" s="93"/>
      <c r="X48" s="97"/>
      <c r="Y48" s="95"/>
      <c r="Z48" s="93"/>
      <c r="AA48" s="93"/>
      <c r="AB48" s="93"/>
      <c r="AC48" s="93"/>
      <c r="AD48" s="81"/>
      <c r="AE48" s="95"/>
      <c r="AF48" s="95"/>
      <c r="AG48" s="89"/>
      <c r="AH48" s="89"/>
      <c r="AI48" s="89"/>
      <c r="AJ48" s="89"/>
      <c r="AK48" s="89"/>
      <c r="AL48" s="81"/>
      <c r="AM48" s="49"/>
      <c r="AN48" s="49"/>
      <c r="AO48" s="49"/>
      <c r="AP48" s="49"/>
      <c r="AQ48" s="49"/>
      <c r="AR48" s="49"/>
      <c r="AS48" s="49"/>
      <c r="AT48" s="49"/>
      <c r="AU48" s="49"/>
      <c r="AV48" s="49"/>
      <c r="AW48" s="49"/>
      <c r="AX48" s="49"/>
      <c r="AY48" s="49"/>
      <c r="AZ48" s="49"/>
      <c r="BA48" s="49"/>
      <c r="BB48" s="49"/>
      <c r="BC48" s="49"/>
      <c r="BD48" s="49"/>
      <c r="BE48" s="49"/>
      <c r="BF48" s="49"/>
      <c r="BG48" s="49"/>
      <c r="BH48" s="49"/>
      <c r="BI48" s="79"/>
      <c r="BJ48" s="79"/>
    </row>
    <row r="49" spans="1:62" ht="14.45">
      <c r="A49" s="46">
        <v>15</v>
      </c>
      <c r="B49" s="72">
        <v>2031</v>
      </c>
      <c r="C49" s="73">
        <v>414.545660042321</v>
      </c>
      <c r="D49" s="74">
        <v>225.58090909090882</v>
      </c>
      <c r="E49" s="74">
        <v>39.409999999999997</v>
      </c>
      <c r="F49" s="74">
        <f>E49*'ON-P Fixed Inputs'!M49</f>
        <v>31.074516049673068</v>
      </c>
      <c r="G49" s="80">
        <f t="shared" si="1"/>
        <v>0.22558090909090883</v>
      </c>
      <c r="I49" s="46">
        <v>15</v>
      </c>
      <c r="J49" s="72" t="s">
        <v>67</v>
      </c>
      <c r="K49" s="73">
        <f t="shared" si="2"/>
        <v>134.98277892067543</v>
      </c>
      <c r="L49" s="72">
        <v>2031</v>
      </c>
      <c r="M49" s="76">
        <f t="shared" si="0"/>
        <v>0.78849317558165621</v>
      </c>
      <c r="N49" s="91"/>
      <c r="O49" s="81"/>
      <c r="P49" s="98"/>
      <c r="Q49" s="93"/>
      <c r="R49" s="81"/>
      <c r="S49" s="94"/>
      <c r="T49" s="93"/>
      <c r="U49" s="93"/>
      <c r="V49" s="93"/>
      <c r="W49" s="93"/>
      <c r="X49" s="97"/>
      <c r="Y49" s="95"/>
      <c r="Z49" s="93"/>
      <c r="AA49" s="93"/>
      <c r="AB49" s="93"/>
      <c r="AC49" s="93"/>
      <c r="AD49" s="81"/>
      <c r="AE49" s="95"/>
      <c r="AF49" s="95"/>
      <c r="AG49" s="89"/>
      <c r="AH49" s="89"/>
      <c r="AI49" s="89"/>
      <c r="AJ49" s="89"/>
      <c r="AK49" s="89"/>
      <c r="AL49" s="81"/>
      <c r="AM49" s="49"/>
      <c r="AN49" s="49"/>
      <c r="AO49" s="49"/>
      <c r="AP49" s="49"/>
      <c r="AQ49" s="49"/>
      <c r="AR49" s="49"/>
      <c r="AS49" s="49"/>
      <c r="AT49" s="49"/>
      <c r="AU49" s="49"/>
      <c r="AV49" s="49"/>
      <c r="AW49" s="49"/>
      <c r="AX49" s="49"/>
      <c r="AY49" s="49"/>
      <c r="AZ49" s="49"/>
      <c r="BA49" s="49"/>
      <c r="BB49" s="49"/>
      <c r="BC49" s="49"/>
      <c r="BD49" s="49"/>
      <c r="BE49" s="49"/>
      <c r="BF49" s="49"/>
      <c r="BG49" s="49"/>
      <c r="BH49" s="49"/>
      <c r="BI49" s="79"/>
      <c r="BJ49" s="79"/>
    </row>
    <row r="50" spans="1:62" ht="14.45">
      <c r="A50" s="46">
        <v>16</v>
      </c>
      <c r="B50" s="72">
        <v>2032</v>
      </c>
      <c r="C50" s="73">
        <v>426.98202984359062</v>
      </c>
      <c r="D50" s="74">
        <v>214.23454545454518</v>
      </c>
      <c r="E50" s="74">
        <v>39.409999999999997</v>
      </c>
      <c r="F50" s="74">
        <f>E50*'ON-P Fixed Inputs'!M50</f>
        <v>30.465211813404967</v>
      </c>
      <c r="G50" s="80">
        <f t="shared" si="1"/>
        <v>0.21423454545454518</v>
      </c>
      <c r="I50" s="46">
        <v>16</v>
      </c>
      <c r="J50" s="72" t="s">
        <v>68</v>
      </c>
      <c r="K50" s="73">
        <f t="shared" si="2"/>
        <v>137.68243449908894</v>
      </c>
      <c r="L50" s="72">
        <v>2032</v>
      </c>
      <c r="M50" s="76">
        <f t="shared" si="0"/>
        <v>0.77303252508005504</v>
      </c>
      <c r="N50" s="91"/>
      <c r="O50" s="81"/>
      <c r="P50" s="147"/>
      <c r="Q50" s="147"/>
      <c r="R50" s="81"/>
      <c r="S50" s="94"/>
      <c r="T50" s="93"/>
      <c r="U50" s="93"/>
      <c r="V50" s="93"/>
      <c r="W50" s="93"/>
      <c r="X50" s="97"/>
      <c r="Y50" s="95"/>
      <c r="Z50" s="93"/>
      <c r="AA50" s="93"/>
      <c r="AB50" s="93"/>
      <c r="AC50" s="93"/>
      <c r="AD50" s="81"/>
      <c r="AE50" s="95"/>
      <c r="AF50" s="95"/>
      <c r="AG50" s="89"/>
      <c r="AH50" s="89"/>
      <c r="AI50" s="89"/>
      <c r="AJ50" s="89"/>
      <c r="AK50" s="89"/>
      <c r="AL50" s="81"/>
      <c r="AM50" s="49"/>
      <c r="AN50" s="49"/>
      <c r="AO50" s="49"/>
      <c r="AP50" s="49"/>
      <c r="AQ50" s="49"/>
      <c r="AR50" s="49"/>
      <c r="AS50" s="49"/>
      <c r="AT50" s="49"/>
      <c r="AU50" s="49"/>
      <c r="AV50" s="49"/>
      <c r="AW50" s="49"/>
      <c r="AX50" s="49"/>
      <c r="AY50" s="49"/>
      <c r="AZ50" s="49"/>
      <c r="BA50" s="49"/>
      <c r="BB50" s="49"/>
      <c r="BC50" s="49"/>
      <c r="BD50" s="49"/>
      <c r="BE50" s="49"/>
      <c r="BF50" s="49"/>
      <c r="BG50" s="49"/>
      <c r="BH50" s="49"/>
      <c r="BI50" s="79"/>
      <c r="BJ50" s="79"/>
    </row>
    <row r="51" spans="1:62" ht="14.45">
      <c r="A51" s="46">
        <v>17</v>
      </c>
      <c r="B51" s="72">
        <v>2033</v>
      </c>
      <c r="C51" s="73">
        <v>439.79149073889835</v>
      </c>
      <c r="D51" s="74">
        <v>202.88818181818155</v>
      </c>
      <c r="E51" s="74">
        <v>39.409999999999997</v>
      </c>
      <c r="F51" s="74">
        <f>E51*'ON-P Fixed Inputs'!M51</f>
        <v>29.867854719024479</v>
      </c>
      <c r="G51" s="80">
        <f t="shared" si="1"/>
        <v>0.20288818181818155</v>
      </c>
      <c r="I51" s="46">
        <v>17</v>
      </c>
      <c r="J51" s="72" t="s">
        <v>69</v>
      </c>
      <c r="K51" s="73">
        <f t="shared" si="2"/>
        <v>140.43608318907073</v>
      </c>
      <c r="L51" s="72">
        <v>2033</v>
      </c>
      <c r="M51" s="76">
        <f t="shared" si="0"/>
        <v>0.75787502458828926</v>
      </c>
      <c r="N51" s="91"/>
      <c r="O51" s="81"/>
      <c r="P51" s="98"/>
      <c r="Q51" s="93"/>
      <c r="R51" s="81"/>
      <c r="S51" s="94"/>
      <c r="T51" s="93"/>
      <c r="U51" s="93"/>
      <c r="V51" s="93"/>
      <c r="W51" s="93"/>
      <c r="X51" s="97"/>
      <c r="Y51" s="95"/>
      <c r="Z51" s="93"/>
      <c r="AA51" s="93"/>
      <c r="AB51" s="93"/>
      <c r="AC51" s="93"/>
      <c r="AD51" s="81"/>
      <c r="AE51" s="95"/>
      <c r="AF51" s="95"/>
      <c r="AG51" s="89"/>
      <c r="AH51" s="89"/>
      <c r="AI51" s="89"/>
      <c r="AJ51" s="89"/>
      <c r="AK51" s="89"/>
      <c r="AL51" s="81"/>
      <c r="AM51" s="49"/>
      <c r="AN51" s="49"/>
      <c r="AO51" s="49"/>
      <c r="AP51" s="49"/>
      <c r="AQ51" s="49"/>
      <c r="AR51" s="49"/>
      <c r="AS51" s="49"/>
      <c r="AT51" s="49"/>
      <c r="AU51" s="49"/>
      <c r="AV51" s="49"/>
      <c r="AW51" s="49"/>
      <c r="AX51" s="49"/>
      <c r="AY51" s="49"/>
      <c r="AZ51" s="49"/>
      <c r="BA51" s="49"/>
      <c r="BB51" s="49"/>
      <c r="BC51" s="49"/>
      <c r="BD51" s="49"/>
      <c r="BE51" s="49"/>
      <c r="BF51" s="49"/>
      <c r="BG51" s="49"/>
      <c r="BH51" s="49"/>
      <c r="BI51" s="79"/>
      <c r="BJ51" s="79"/>
    </row>
    <row r="52" spans="1:62" ht="14.45">
      <c r="A52" s="46">
        <v>18</v>
      </c>
      <c r="B52" s="72">
        <v>2034</v>
      </c>
      <c r="C52" s="73">
        <v>452.98523546106532</v>
      </c>
      <c r="D52" s="74">
        <v>191.54181818181792</v>
      </c>
      <c r="E52" s="74">
        <v>39.409999999999997</v>
      </c>
      <c r="F52" s="74">
        <f>E52*'ON-P Fixed Inputs'!M52</f>
        <v>29.282210508847523</v>
      </c>
      <c r="G52" s="80">
        <f t="shared" si="1"/>
        <v>0.19154181818181792</v>
      </c>
      <c r="I52" s="46">
        <v>18</v>
      </c>
      <c r="J52" s="72" t="s">
        <v>70</v>
      </c>
      <c r="K52" s="73">
        <f t="shared" si="2"/>
        <v>143.24480485285216</v>
      </c>
      <c r="L52" s="72">
        <v>2034</v>
      </c>
      <c r="M52" s="76">
        <f t="shared" si="0"/>
        <v>0.74301472998851881</v>
      </c>
      <c r="N52" s="91"/>
      <c r="O52" s="81"/>
      <c r="P52" s="96"/>
      <c r="Q52" s="93"/>
      <c r="R52" s="81"/>
      <c r="S52" s="94"/>
      <c r="T52" s="93"/>
      <c r="U52" s="93"/>
      <c r="V52" s="93"/>
      <c r="W52" s="93"/>
      <c r="X52" s="97"/>
      <c r="Y52" s="95"/>
      <c r="Z52" s="93"/>
      <c r="AA52" s="93"/>
      <c r="AB52" s="93"/>
      <c r="AC52" s="93"/>
      <c r="AD52" s="81"/>
      <c r="AE52" s="95"/>
      <c r="AF52" s="95"/>
      <c r="AG52" s="89"/>
      <c r="AH52" s="89"/>
      <c r="AI52" s="89"/>
      <c r="AJ52" s="89"/>
      <c r="AK52" s="89"/>
      <c r="AL52" s="81"/>
      <c r="AM52" s="49"/>
      <c r="AN52" s="49"/>
      <c r="AO52" s="49"/>
      <c r="AP52" s="49"/>
      <c r="AQ52" s="49"/>
      <c r="AR52" s="49"/>
      <c r="AS52" s="49"/>
      <c r="AT52" s="49"/>
      <c r="AU52" s="49"/>
      <c r="AV52" s="49"/>
      <c r="AW52" s="49"/>
      <c r="AX52" s="49"/>
      <c r="AY52" s="49"/>
      <c r="AZ52" s="49"/>
      <c r="BA52" s="49"/>
      <c r="BB52" s="49"/>
      <c r="BC52" s="49"/>
      <c r="BD52" s="49"/>
      <c r="BE52" s="49"/>
      <c r="BF52" s="49"/>
      <c r="BG52" s="49"/>
      <c r="BH52" s="49"/>
      <c r="BI52" s="79"/>
      <c r="BJ52" s="79"/>
    </row>
    <row r="53" spans="1:62" ht="14.45">
      <c r="A53" s="46">
        <v>19</v>
      </c>
      <c r="B53" s="72">
        <v>2035</v>
      </c>
      <c r="C53" s="73">
        <v>466.5747925248973</v>
      </c>
      <c r="D53" s="74">
        <v>180.19545454545428</v>
      </c>
      <c r="E53" s="74">
        <v>39.409999999999997</v>
      </c>
      <c r="F53" s="74">
        <f>E53*'ON-P Fixed Inputs'!M53</f>
        <v>28.70804951847796</v>
      </c>
      <c r="G53" s="80">
        <f t="shared" si="1"/>
        <v>0.18019545454545427</v>
      </c>
      <c r="I53" s="46">
        <v>19</v>
      </c>
      <c r="J53" s="72" t="s">
        <v>71</v>
      </c>
      <c r="K53" s="73">
        <f t="shared" si="2"/>
        <v>146.10970094990921</v>
      </c>
      <c r="L53" s="72">
        <v>2035</v>
      </c>
      <c r="M53" s="76">
        <f t="shared" si="0"/>
        <v>0.728445813714234</v>
      </c>
      <c r="N53" s="91"/>
      <c r="O53" s="81"/>
      <c r="P53" s="96"/>
      <c r="Q53" s="93"/>
      <c r="R53" s="81"/>
      <c r="S53" s="94"/>
      <c r="T53" s="93"/>
      <c r="U53" s="93"/>
      <c r="V53" s="93"/>
      <c r="W53" s="93"/>
      <c r="X53" s="97"/>
      <c r="Y53" s="95"/>
      <c r="Z53" s="93"/>
      <c r="AA53" s="93"/>
      <c r="AB53" s="93"/>
      <c r="AC53" s="93"/>
      <c r="AD53" s="81"/>
      <c r="AE53" s="95"/>
      <c r="AF53" s="95"/>
      <c r="AG53" s="89"/>
      <c r="AH53" s="89"/>
      <c r="AI53" s="89"/>
      <c r="AJ53" s="89"/>
      <c r="AK53" s="89"/>
      <c r="AL53" s="81"/>
      <c r="AM53" s="49"/>
      <c r="AN53" s="49"/>
      <c r="AO53" s="49"/>
      <c r="AP53" s="49"/>
      <c r="AQ53" s="49"/>
      <c r="AR53" s="49"/>
      <c r="AS53" s="49"/>
      <c r="AT53" s="49"/>
      <c r="AU53" s="49"/>
      <c r="AV53" s="49"/>
      <c r="AW53" s="49"/>
      <c r="AX53" s="49"/>
      <c r="AY53" s="49"/>
      <c r="AZ53" s="49"/>
      <c r="BA53" s="49"/>
      <c r="BB53" s="49"/>
      <c r="BC53" s="49"/>
      <c r="BD53" s="49"/>
      <c r="BE53" s="49"/>
      <c r="BF53" s="49"/>
      <c r="BG53" s="49"/>
      <c r="BH53" s="49"/>
      <c r="BI53" s="79"/>
      <c r="BJ53" s="79"/>
    </row>
    <row r="54" spans="1:62" ht="14.45">
      <c r="A54" s="46">
        <v>20</v>
      </c>
      <c r="B54" s="72">
        <v>2036</v>
      </c>
      <c r="C54" s="73">
        <v>480.57203630064424</v>
      </c>
      <c r="D54" s="74">
        <v>168.84909090909065</v>
      </c>
      <c r="E54" s="74">
        <v>39.409999999999997</v>
      </c>
      <c r="F54" s="74">
        <f>E54*'ON-P Fixed Inputs'!M54</f>
        <v>28.145146586743095</v>
      </c>
      <c r="G54" s="80">
        <f t="shared" si="1"/>
        <v>0.16884909090909064</v>
      </c>
      <c r="I54" s="46">
        <v>20</v>
      </c>
      <c r="J54" s="72" t="s">
        <v>72</v>
      </c>
      <c r="K54" s="73">
        <f t="shared" si="2"/>
        <v>149.03189496890741</v>
      </c>
      <c r="L54" s="72">
        <v>2036</v>
      </c>
      <c r="M54" s="76">
        <f t="shared" si="0"/>
        <v>0.71416256246493526</v>
      </c>
      <c r="N54" s="91"/>
      <c r="O54" s="81"/>
      <c r="P54" s="98"/>
      <c r="Q54" s="93"/>
      <c r="R54" s="81"/>
      <c r="S54" s="94"/>
      <c r="T54" s="93"/>
      <c r="U54" s="93"/>
      <c r="V54" s="93"/>
      <c r="W54" s="93"/>
      <c r="X54" s="97"/>
      <c r="Y54" s="95"/>
      <c r="Z54" s="93"/>
      <c r="AA54" s="93"/>
      <c r="AB54" s="93"/>
      <c r="AC54" s="93"/>
      <c r="AD54" s="81"/>
      <c r="AE54" s="95"/>
      <c r="AF54" s="95"/>
      <c r="AG54" s="89"/>
      <c r="AH54" s="89"/>
      <c r="AI54" s="89"/>
      <c r="AJ54" s="89"/>
      <c r="AK54" s="89"/>
      <c r="AL54" s="81"/>
      <c r="AM54" s="49"/>
      <c r="AN54" s="49"/>
      <c r="AO54" s="49"/>
      <c r="AP54" s="49"/>
      <c r="AQ54" s="49"/>
      <c r="AR54" s="49"/>
      <c r="AS54" s="49"/>
      <c r="AT54" s="49"/>
      <c r="AU54" s="49"/>
      <c r="AV54" s="49"/>
      <c r="AW54" s="49"/>
      <c r="AX54" s="49"/>
      <c r="AY54" s="49"/>
      <c r="AZ54" s="49"/>
      <c r="BA54" s="49"/>
      <c r="BB54" s="49"/>
      <c r="BC54" s="49"/>
      <c r="BD54" s="49"/>
      <c r="BE54" s="49"/>
      <c r="BF54" s="49"/>
      <c r="BG54" s="49"/>
      <c r="BH54" s="49"/>
      <c r="BI54" s="79"/>
      <c r="BJ54" s="79"/>
    </row>
    <row r="55" spans="1:62" ht="14.45">
      <c r="A55" s="46">
        <v>21</v>
      </c>
      <c r="B55" s="72">
        <v>2037</v>
      </c>
      <c r="C55" s="73"/>
      <c r="D55" s="74">
        <v>157.50272727272701</v>
      </c>
      <c r="E55" s="74">
        <v>39.409999999999997</v>
      </c>
      <c r="F55" s="74">
        <f>E55*'ON-P Fixed Inputs'!M55</f>
        <v>27.593280967395195</v>
      </c>
      <c r="G55" s="80">
        <f t="shared" si="1"/>
        <v>0.15750272727272702</v>
      </c>
      <c r="I55" s="46">
        <v>21</v>
      </c>
      <c r="J55" s="72" t="s">
        <v>73</v>
      </c>
      <c r="K55" s="73">
        <f t="shared" si="2"/>
        <v>152.01253286828555</v>
      </c>
      <c r="L55" s="72">
        <v>2037</v>
      </c>
      <c r="M55" s="76">
        <f t="shared" si="0"/>
        <v>0.70015937496562286</v>
      </c>
      <c r="N55" s="91"/>
      <c r="O55" s="81"/>
      <c r="P55" s="96"/>
      <c r="Q55" s="93"/>
      <c r="R55" s="81"/>
      <c r="S55" s="94"/>
      <c r="T55" s="93"/>
      <c r="U55" s="93"/>
      <c r="V55" s="93"/>
      <c r="W55" s="93"/>
      <c r="X55" s="97"/>
      <c r="Y55" s="95"/>
      <c r="Z55" s="93"/>
      <c r="AA55" s="93"/>
      <c r="AB55" s="93"/>
      <c r="AC55" s="93"/>
      <c r="AD55" s="81"/>
      <c r="AE55" s="95"/>
      <c r="AF55" s="95"/>
      <c r="AG55" s="89"/>
      <c r="AH55" s="89"/>
      <c r="AI55" s="89"/>
      <c r="AJ55" s="89"/>
      <c r="AK55" s="89"/>
      <c r="AL55" s="81"/>
      <c r="AM55" s="49"/>
      <c r="AN55" s="49"/>
      <c r="AO55" s="49"/>
      <c r="AP55" s="49"/>
      <c r="AQ55" s="49"/>
      <c r="AR55" s="49"/>
      <c r="AS55" s="49"/>
      <c r="AT55" s="49"/>
      <c r="AU55" s="49"/>
      <c r="AV55" s="49"/>
      <c r="AW55" s="49"/>
      <c r="AX55" s="49"/>
      <c r="AY55" s="49"/>
      <c r="AZ55" s="49"/>
      <c r="BA55" s="49"/>
      <c r="BB55" s="49"/>
      <c r="BC55" s="49"/>
      <c r="BD55" s="49"/>
      <c r="BE55" s="49"/>
      <c r="BF55" s="49"/>
      <c r="BG55" s="49"/>
      <c r="BH55" s="49"/>
      <c r="BI55" s="79"/>
      <c r="BJ55" s="79"/>
    </row>
    <row r="56" spans="1:62" ht="14.45">
      <c r="A56" s="46">
        <v>22</v>
      </c>
      <c r="B56" s="72">
        <v>2038</v>
      </c>
      <c r="C56" s="73"/>
      <c r="D56" s="74">
        <v>146.15636363636338</v>
      </c>
      <c r="E56" s="74">
        <v>39.409999999999997</v>
      </c>
      <c r="F56" s="74">
        <f>E56*'ON-P Fixed Inputs'!M56</f>
        <v>27.052236242544307</v>
      </c>
      <c r="G56" s="80">
        <f t="shared" si="1"/>
        <v>0.14615636363636339</v>
      </c>
      <c r="I56" s="46">
        <v>22</v>
      </c>
      <c r="J56" s="72" t="s">
        <v>74</v>
      </c>
      <c r="K56" s="73">
        <f t="shared" si="2"/>
        <v>155.05278352565125</v>
      </c>
      <c r="L56" s="72">
        <v>2038</v>
      </c>
      <c r="M56" s="76">
        <f t="shared" si="0"/>
        <v>0.6864307597702185</v>
      </c>
      <c r="N56" s="91"/>
      <c r="O56" s="81"/>
      <c r="P56" s="96"/>
      <c r="Q56" s="93"/>
      <c r="R56" s="81"/>
      <c r="S56" s="94"/>
      <c r="T56" s="93"/>
      <c r="U56" s="93"/>
      <c r="V56" s="93"/>
      <c r="W56" s="93"/>
      <c r="X56" s="97"/>
      <c r="Y56" s="95"/>
      <c r="Z56" s="93"/>
      <c r="AA56" s="93"/>
      <c r="AB56" s="93"/>
      <c r="AC56" s="93"/>
      <c r="AD56" s="81"/>
      <c r="AE56" s="95"/>
      <c r="AF56" s="95"/>
      <c r="AG56" s="89"/>
      <c r="AH56" s="89"/>
      <c r="AI56" s="89"/>
      <c r="AJ56" s="89"/>
      <c r="AK56" s="89"/>
      <c r="AL56" s="81"/>
      <c r="AM56" s="49"/>
      <c r="AN56" s="49"/>
      <c r="AO56" s="49"/>
      <c r="AP56" s="49"/>
      <c r="AQ56" s="49"/>
      <c r="AR56" s="49"/>
      <c r="AS56" s="49"/>
      <c r="AT56" s="49"/>
      <c r="AU56" s="49"/>
      <c r="AV56" s="49"/>
      <c r="AW56" s="49"/>
      <c r="AX56" s="49"/>
      <c r="AY56" s="49"/>
      <c r="AZ56" s="49"/>
      <c r="BA56" s="49"/>
      <c r="BB56" s="49"/>
      <c r="BC56" s="49"/>
      <c r="BD56" s="49"/>
      <c r="BE56" s="49"/>
      <c r="BF56" s="49"/>
      <c r="BG56" s="49"/>
      <c r="BH56" s="49"/>
      <c r="BI56" s="79"/>
      <c r="BJ56" s="79"/>
    </row>
    <row r="57" spans="1:62" ht="14.45">
      <c r="A57" s="46">
        <v>23</v>
      </c>
      <c r="B57" s="72">
        <v>2039</v>
      </c>
      <c r="C57" s="73"/>
      <c r="D57" s="74">
        <v>134.80999999999975</v>
      </c>
      <c r="E57" s="74">
        <v>39.409999999999997</v>
      </c>
      <c r="F57" s="74">
        <f>E57*'ON-P Fixed Inputs'!M57</f>
        <v>26.521800237788536</v>
      </c>
      <c r="G57" s="80">
        <f t="shared" si="1"/>
        <v>0.13480999999999974</v>
      </c>
      <c r="I57" s="46">
        <v>23</v>
      </c>
      <c r="J57" s="72" t="s">
        <v>75</v>
      </c>
      <c r="K57" s="73">
        <f t="shared" si="2"/>
        <v>158.15383919616428</v>
      </c>
      <c r="L57" s="72">
        <v>2039</v>
      </c>
      <c r="M57" s="76">
        <f t="shared" si="0"/>
        <v>0.67297133310805735</v>
      </c>
      <c r="N57" s="91"/>
      <c r="O57" s="81"/>
      <c r="P57" s="98"/>
      <c r="Q57" s="93"/>
      <c r="R57" s="81"/>
      <c r="S57" s="94"/>
      <c r="T57" s="93"/>
      <c r="U57" s="93"/>
      <c r="V57" s="93"/>
      <c r="W57" s="93"/>
      <c r="X57" s="97"/>
      <c r="Y57" s="95"/>
      <c r="Z57" s="93"/>
      <c r="AA57" s="93"/>
      <c r="AB57" s="93"/>
      <c r="AC57" s="93"/>
      <c r="AD57" s="81"/>
      <c r="AE57" s="95"/>
      <c r="AF57" s="95"/>
      <c r="AG57" s="89"/>
      <c r="AH57" s="89"/>
      <c r="AI57" s="89"/>
      <c r="AJ57" s="89"/>
      <c r="AK57" s="89"/>
      <c r="AL57" s="81"/>
      <c r="AM57" s="49"/>
      <c r="AN57" s="49"/>
      <c r="AO57" s="49"/>
      <c r="AP57" s="49"/>
      <c r="AQ57" s="49"/>
      <c r="AR57" s="49"/>
      <c r="AS57" s="49"/>
      <c r="AT57" s="49"/>
      <c r="AU57" s="49"/>
      <c r="AV57" s="49"/>
      <c r="AW57" s="49"/>
      <c r="AX57" s="49"/>
      <c r="AY57" s="49"/>
      <c r="AZ57" s="49"/>
      <c r="BA57" s="49"/>
      <c r="BB57" s="49"/>
      <c r="BC57" s="49"/>
      <c r="BD57" s="49"/>
      <c r="BE57" s="49"/>
      <c r="BF57" s="49"/>
      <c r="BG57" s="49"/>
      <c r="BH57" s="49"/>
      <c r="BI57" s="79"/>
      <c r="BJ57" s="79"/>
    </row>
    <row r="58" spans="1:62" ht="14.45">
      <c r="A58" s="46">
        <v>24</v>
      </c>
      <c r="B58" s="72">
        <v>2040</v>
      </c>
      <c r="C58" s="73"/>
      <c r="D58" s="74">
        <v>123.46363636363611</v>
      </c>
      <c r="E58" s="74">
        <v>39.409999999999997</v>
      </c>
      <c r="F58" s="74">
        <f>E58*'ON-P Fixed Inputs'!M58</f>
        <v>26.001764939008368</v>
      </c>
      <c r="G58" s="80">
        <f t="shared" si="1"/>
        <v>0.12346363636363611</v>
      </c>
      <c r="I58" s="46">
        <v>24</v>
      </c>
      <c r="J58" s="72" t="s">
        <v>76</v>
      </c>
      <c r="K58" s="73">
        <f t="shared" si="2"/>
        <v>161.31691598008757</v>
      </c>
      <c r="L58" s="72">
        <v>2040</v>
      </c>
      <c r="M58" s="76">
        <f t="shared" si="0"/>
        <v>0.65977581677260522</v>
      </c>
      <c r="N58" s="91"/>
      <c r="O58" s="81"/>
      <c r="P58" s="96"/>
      <c r="Q58" s="93"/>
      <c r="R58" s="81"/>
      <c r="S58" s="94"/>
      <c r="T58" s="93"/>
      <c r="U58" s="93"/>
      <c r="V58" s="93"/>
      <c r="W58" s="93"/>
      <c r="X58" s="97"/>
      <c r="Y58" s="95"/>
      <c r="Z58" s="93"/>
      <c r="AA58" s="93"/>
      <c r="AB58" s="93"/>
      <c r="AC58" s="93"/>
      <c r="AD58" s="81"/>
      <c r="AE58" s="95"/>
      <c r="AF58" s="95"/>
      <c r="AG58" s="89"/>
      <c r="AH58" s="89"/>
      <c r="AI58" s="89"/>
      <c r="AJ58" s="89"/>
      <c r="AK58" s="89"/>
      <c r="AL58" s="81"/>
      <c r="AM58" s="49"/>
      <c r="AN58" s="49"/>
      <c r="AO58" s="49"/>
      <c r="AP58" s="49"/>
      <c r="AQ58" s="49"/>
      <c r="AR58" s="49"/>
      <c r="AS58" s="49"/>
      <c r="AT58" s="49"/>
      <c r="AU58" s="49"/>
      <c r="AV58" s="49"/>
      <c r="AW58" s="49"/>
      <c r="AX58" s="49"/>
      <c r="AY58" s="49"/>
      <c r="AZ58" s="49"/>
      <c r="BA58" s="49"/>
      <c r="BB58" s="49"/>
      <c r="BC58" s="49"/>
      <c r="BD58" s="49"/>
      <c r="BE58" s="49"/>
      <c r="BF58" s="49"/>
      <c r="BG58" s="49"/>
      <c r="BH58" s="49"/>
      <c r="BI58" s="79"/>
      <c r="BJ58" s="79"/>
    </row>
    <row r="59" spans="1:62" ht="14.45">
      <c r="A59" s="46">
        <v>25</v>
      </c>
      <c r="B59" s="72">
        <v>2041</v>
      </c>
      <c r="C59" s="73"/>
      <c r="D59" s="74">
        <v>112.11727272727248</v>
      </c>
      <c r="E59" s="74">
        <v>39.409999999999997</v>
      </c>
      <c r="F59" s="74">
        <f>E59*'ON-P Fixed Inputs'!M59</f>
        <v>25.491926410792519</v>
      </c>
      <c r="G59" s="80">
        <f t="shared" si="1"/>
        <v>0.11211727272727248</v>
      </c>
      <c r="I59" s="46">
        <v>25</v>
      </c>
      <c r="J59" s="72" t="s">
        <v>77</v>
      </c>
      <c r="K59" s="73">
        <f t="shared" si="2"/>
        <v>164.54325429968932</v>
      </c>
      <c r="L59" s="72">
        <v>2041</v>
      </c>
      <c r="M59" s="76">
        <f t="shared" si="0"/>
        <v>0.64683903605157378</v>
      </c>
      <c r="N59" s="91"/>
      <c r="O59" s="81"/>
      <c r="P59" s="98"/>
      <c r="Q59" s="93"/>
      <c r="R59" s="81"/>
      <c r="S59" s="94"/>
      <c r="T59" s="93"/>
      <c r="U59" s="93"/>
      <c r="V59" s="93"/>
      <c r="W59" s="93"/>
      <c r="X59" s="97"/>
      <c r="Y59" s="95"/>
      <c r="Z59" s="93"/>
      <c r="AA59" s="93"/>
      <c r="AB59" s="93"/>
      <c r="AC59" s="93"/>
      <c r="AD59" s="81"/>
      <c r="AE59" s="95"/>
      <c r="AF59" s="95"/>
      <c r="AG59" s="89"/>
      <c r="AH59" s="89"/>
      <c r="AI59" s="89"/>
      <c r="AJ59" s="89"/>
      <c r="AK59" s="89"/>
      <c r="AL59" s="81"/>
      <c r="AM59" s="49"/>
      <c r="AN59" s="49"/>
      <c r="AO59" s="49"/>
      <c r="AP59" s="49"/>
      <c r="AQ59" s="49"/>
      <c r="AR59" s="49"/>
      <c r="AS59" s="49"/>
      <c r="AT59" s="49"/>
      <c r="AU59" s="49"/>
      <c r="AV59" s="49"/>
      <c r="AW59" s="49"/>
      <c r="AX59" s="49"/>
      <c r="AY59" s="49"/>
      <c r="AZ59" s="49"/>
      <c r="BA59" s="49"/>
      <c r="BB59" s="49"/>
      <c r="BC59" s="49"/>
      <c r="BD59" s="49"/>
      <c r="BE59" s="49"/>
      <c r="BF59" s="49"/>
      <c r="BG59" s="49"/>
      <c r="BH59" s="49"/>
      <c r="BI59" s="79"/>
      <c r="BJ59" s="79"/>
    </row>
    <row r="60" spans="1:62" ht="14.45">
      <c r="A60" s="46">
        <v>26</v>
      </c>
      <c r="B60" s="72">
        <v>2042</v>
      </c>
      <c r="C60" s="73"/>
      <c r="D60" s="74">
        <v>100.77090909090884</v>
      </c>
      <c r="E60" s="74">
        <v>39.409999999999997</v>
      </c>
      <c r="F60" s="74">
        <f>E60*'ON-P Fixed Inputs'!M60</f>
        <v>24.99208471646325</v>
      </c>
      <c r="G60" s="80">
        <f t="shared" si="1"/>
        <v>0.10077090909090884</v>
      </c>
      <c r="I60" s="46">
        <v>26</v>
      </c>
      <c r="J60" s="72" t="s">
        <v>78</v>
      </c>
      <c r="K60" s="73">
        <f t="shared" si="2"/>
        <v>167.83411938568312</v>
      </c>
      <c r="L60" s="72">
        <v>2042</v>
      </c>
      <c r="M60" s="76">
        <f t="shared" si="0"/>
        <v>0.63415591769762125</v>
      </c>
      <c r="N60" s="91"/>
      <c r="O60" s="81"/>
      <c r="P60" s="96"/>
      <c r="Q60" s="93"/>
      <c r="R60" s="81"/>
      <c r="S60" s="94"/>
      <c r="T60" s="93"/>
      <c r="U60" s="93"/>
      <c r="V60" s="93"/>
      <c r="W60" s="93"/>
      <c r="X60" s="97"/>
      <c r="Y60" s="95"/>
      <c r="Z60" s="93"/>
      <c r="AA60" s="93"/>
      <c r="AB60" s="93"/>
      <c r="AC60" s="93"/>
      <c r="AD60" s="81"/>
      <c r="AE60" s="95"/>
      <c r="AF60" s="95"/>
      <c r="AG60" s="89"/>
      <c r="AH60" s="89"/>
      <c r="AI60" s="89"/>
      <c r="AJ60" s="89"/>
      <c r="AK60" s="89"/>
      <c r="AL60" s="81"/>
      <c r="AM60" s="49"/>
      <c r="AN60" s="49"/>
      <c r="AO60" s="49"/>
      <c r="AP60" s="49"/>
      <c r="AQ60" s="49"/>
      <c r="AR60" s="49"/>
      <c r="AS60" s="49"/>
      <c r="AT60" s="49"/>
      <c r="AU60" s="49"/>
      <c r="AV60" s="49"/>
      <c r="AW60" s="49"/>
      <c r="AX60" s="49"/>
      <c r="AY60" s="49"/>
      <c r="AZ60" s="49"/>
      <c r="BA60" s="49"/>
      <c r="BB60" s="49"/>
      <c r="BC60" s="49"/>
      <c r="BD60" s="49"/>
      <c r="BE60" s="49"/>
      <c r="BF60" s="49"/>
      <c r="BG60" s="49"/>
      <c r="BH60" s="49"/>
      <c r="BI60" s="79"/>
      <c r="BJ60" s="79"/>
    </row>
    <row r="61" spans="1:62" ht="14.45">
      <c r="A61" s="46">
        <v>27</v>
      </c>
      <c r="B61" s="72">
        <v>2043</v>
      </c>
      <c r="C61" s="73"/>
      <c r="D61" s="74">
        <v>89.424545454545211</v>
      </c>
      <c r="E61" s="74">
        <v>39.409999999999997</v>
      </c>
      <c r="F61" s="74">
        <f>E61*'ON-P Fixed Inputs'!M61</f>
        <v>24.502043839669852</v>
      </c>
      <c r="G61" s="80">
        <f t="shared" si="1"/>
        <v>8.9424545454545215E-2</v>
      </c>
      <c r="I61" s="46">
        <v>27</v>
      </c>
      <c r="J61" s="72" t="s">
        <v>79</v>
      </c>
      <c r="K61" s="73">
        <f t="shared" si="2"/>
        <v>171.1908017733968</v>
      </c>
      <c r="L61" s="72">
        <v>2043</v>
      </c>
      <c r="M61" s="76">
        <f t="shared" si="0"/>
        <v>0.6217214879388443</v>
      </c>
      <c r="N61" s="91"/>
      <c r="O61" s="81"/>
      <c r="P61" s="96"/>
      <c r="Q61" s="93"/>
      <c r="R61" s="81"/>
      <c r="S61" s="94"/>
      <c r="T61" s="93"/>
      <c r="U61" s="93"/>
      <c r="V61" s="93"/>
      <c r="W61" s="93"/>
      <c r="X61" s="97"/>
      <c r="Y61" s="95"/>
      <c r="Z61" s="93"/>
      <c r="AA61" s="93"/>
      <c r="AB61" s="93"/>
      <c r="AC61" s="93"/>
      <c r="AD61" s="81"/>
      <c r="AE61" s="95"/>
      <c r="AF61" s="95"/>
      <c r="AG61" s="89"/>
      <c r="AH61" s="89"/>
      <c r="AI61" s="89"/>
      <c r="AJ61" s="89"/>
      <c r="AK61" s="89"/>
      <c r="AL61" s="81"/>
      <c r="AM61" s="49"/>
      <c r="AN61" s="49"/>
      <c r="AO61" s="49"/>
      <c r="AP61" s="49"/>
      <c r="AQ61" s="49"/>
      <c r="AR61" s="49"/>
      <c r="AS61" s="49"/>
      <c r="AT61" s="49"/>
      <c r="AU61" s="49"/>
      <c r="AV61" s="49"/>
      <c r="AW61" s="49"/>
      <c r="AX61" s="49"/>
      <c r="AY61" s="49"/>
      <c r="AZ61" s="49"/>
      <c r="BA61" s="49"/>
      <c r="BB61" s="49"/>
      <c r="BC61" s="49"/>
      <c r="BD61" s="49"/>
      <c r="BE61" s="49"/>
      <c r="BF61" s="49"/>
      <c r="BG61" s="49"/>
      <c r="BH61" s="49"/>
      <c r="BI61" s="79"/>
      <c r="BJ61" s="79"/>
    </row>
    <row r="62" spans="1:62" ht="14.45">
      <c r="A62" s="46">
        <v>28</v>
      </c>
      <c r="B62" s="72">
        <v>2044</v>
      </c>
      <c r="C62" s="73"/>
      <c r="D62" s="74">
        <v>78.078181818181577</v>
      </c>
      <c r="E62" s="74">
        <v>39.409999999999997</v>
      </c>
      <c r="F62" s="74">
        <f>E62*'ON-P Fixed Inputs'!M62</f>
        <v>24.021611607519461</v>
      </c>
      <c r="G62" s="80">
        <f t="shared" si="1"/>
        <v>7.8078181818181575E-2</v>
      </c>
      <c r="I62" s="46">
        <v>28</v>
      </c>
      <c r="J62" s="72" t="s">
        <v>80</v>
      </c>
      <c r="K62" s="73">
        <f t="shared" si="2"/>
        <v>174.61461780886475</v>
      </c>
      <c r="L62" s="72">
        <v>2044</v>
      </c>
      <c r="M62" s="76">
        <f t="shared" si="0"/>
        <v>0.6095308705282787</v>
      </c>
      <c r="N62" s="91"/>
      <c r="O62" s="81"/>
      <c r="P62" s="99"/>
      <c r="Q62" s="93"/>
      <c r="R62" s="81"/>
      <c r="S62" s="94"/>
      <c r="T62" s="93"/>
      <c r="U62" s="93"/>
      <c r="V62" s="93"/>
      <c r="W62" s="93"/>
      <c r="X62" s="97"/>
      <c r="Y62" s="95"/>
      <c r="Z62" s="93"/>
      <c r="AA62" s="93"/>
      <c r="AB62" s="93"/>
      <c r="AC62" s="93"/>
      <c r="AD62" s="81"/>
      <c r="AE62" s="95"/>
      <c r="AF62" s="95"/>
      <c r="AG62" s="89"/>
      <c r="AH62" s="89"/>
      <c r="AI62" s="89"/>
      <c r="AJ62" s="89"/>
      <c r="AK62" s="89"/>
      <c r="AL62" s="81"/>
      <c r="AM62" s="49"/>
      <c r="AN62" s="49"/>
      <c r="AO62" s="49"/>
      <c r="AP62" s="49"/>
      <c r="AQ62" s="49"/>
      <c r="AR62" s="49"/>
      <c r="AS62" s="49"/>
      <c r="AT62" s="49"/>
      <c r="AU62" s="49"/>
      <c r="AV62" s="49"/>
      <c r="AW62" s="49"/>
      <c r="AX62" s="49"/>
      <c r="AY62" s="49"/>
      <c r="AZ62" s="49"/>
      <c r="BA62" s="49"/>
      <c r="BB62" s="49"/>
      <c r="BC62" s="49"/>
      <c r="BD62" s="49"/>
      <c r="BE62" s="49"/>
      <c r="BF62" s="49"/>
      <c r="BG62" s="49"/>
      <c r="BH62" s="49"/>
      <c r="BI62" s="79"/>
      <c r="BJ62" s="79"/>
    </row>
    <row r="63" spans="1:62" ht="14.45">
      <c r="A63" s="46">
        <v>29</v>
      </c>
      <c r="B63" s="72">
        <v>2045</v>
      </c>
      <c r="C63" s="73"/>
      <c r="D63" s="74">
        <v>66.731818181817943</v>
      </c>
      <c r="E63" s="74">
        <v>39.409999999999997</v>
      </c>
      <c r="F63" s="74">
        <f>E63*'ON-P Fixed Inputs'!M63</f>
        <v>23.550599615215159</v>
      </c>
      <c r="G63" s="80">
        <f t="shared" si="1"/>
        <v>6.6731818181817948E-2</v>
      </c>
      <c r="I63" s="46">
        <v>29</v>
      </c>
      <c r="J63" s="72" t="s">
        <v>81</v>
      </c>
      <c r="K63" s="73">
        <f t="shared" si="2"/>
        <v>178.10691016504205</v>
      </c>
      <c r="L63" s="72">
        <v>2045</v>
      </c>
      <c r="M63" s="76">
        <f t="shared" si="0"/>
        <v>0.5975792848316458</v>
      </c>
      <c r="N63" s="91"/>
      <c r="O63" s="81"/>
      <c r="P63" s="96"/>
      <c r="Q63" s="93"/>
      <c r="R63" s="81"/>
      <c r="S63" s="94"/>
      <c r="T63" s="93"/>
      <c r="U63" s="93"/>
      <c r="V63" s="93"/>
      <c r="W63" s="93"/>
      <c r="X63" s="97"/>
      <c r="Y63" s="95"/>
      <c r="Z63" s="93"/>
      <c r="AA63" s="93"/>
      <c r="AB63" s="93"/>
      <c r="AC63" s="93"/>
      <c r="AD63" s="81"/>
      <c r="AE63" s="95"/>
      <c r="AF63" s="95"/>
      <c r="AG63" s="89"/>
      <c r="AH63" s="89"/>
      <c r="AI63" s="89"/>
      <c r="AJ63" s="89"/>
      <c r="AK63" s="89"/>
      <c r="AL63" s="81"/>
      <c r="AM63" s="49"/>
      <c r="AN63" s="49"/>
      <c r="AO63" s="49"/>
      <c r="AP63" s="49"/>
      <c r="AQ63" s="49"/>
      <c r="AR63" s="49"/>
      <c r="AS63" s="49"/>
      <c r="AT63" s="49"/>
      <c r="AU63" s="49"/>
      <c r="AV63" s="49"/>
      <c r="AW63" s="49"/>
      <c r="AX63" s="49"/>
      <c r="AY63" s="49"/>
      <c r="AZ63" s="49"/>
      <c r="BA63" s="49"/>
      <c r="BB63" s="49"/>
      <c r="BC63" s="49"/>
      <c r="BD63" s="49"/>
      <c r="BE63" s="49"/>
      <c r="BF63" s="49"/>
      <c r="BG63" s="49"/>
      <c r="BH63" s="49"/>
      <c r="BI63" s="79"/>
      <c r="BJ63" s="79"/>
    </row>
    <row r="64" spans="1:62" ht="14.45">
      <c r="A64" s="46">
        <v>30</v>
      </c>
      <c r="B64" s="72">
        <v>2046</v>
      </c>
      <c r="C64" s="73"/>
      <c r="D64" s="74">
        <v>55.385454545454309</v>
      </c>
      <c r="E64" s="74">
        <v>39.409999999999997</v>
      </c>
      <c r="F64" s="74">
        <f>E64*'ON-P Fixed Inputs'!M64</f>
        <v>23.088823152171724</v>
      </c>
      <c r="G64" s="80">
        <f t="shared" si="1"/>
        <v>5.5385454545454307E-2</v>
      </c>
      <c r="I64" s="46">
        <v>30</v>
      </c>
      <c r="J64" s="72" t="s">
        <v>82</v>
      </c>
      <c r="K64" s="73">
        <f t="shared" si="2"/>
        <v>181.66904836834289</v>
      </c>
      <c r="L64" s="72">
        <v>2046</v>
      </c>
      <c r="M64" s="76">
        <f t="shared" si="0"/>
        <v>0.58586204395259389</v>
      </c>
      <c r="N64" s="91"/>
      <c r="O64" s="81"/>
      <c r="P64" s="92"/>
      <c r="Q64" s="93"/>
      <c r="R64" s="81"/>
      <c r="S64" s="94"/>
      <c r="T64" s="93"/>
      <c r="U64" s="93"/>
      <c r="V64" s="93"/>
      <c r="W64" s="93"/>
      <c r="X64" s="97"/>
      <c r="Y64" s="95"/>
      <c r="Z64" s="93"/>
      <c r="AA64" s="93"/>
      <c r="AB64" s="93"/>
      <c r="AC64" s="93"/>
      <c r="AD64" s="81"/>
      <c r="AE64" s="95"/>
      <c r="AF64" s="95"/>
      <c r="AG64" s="89"/>
      <c r="AH64" s="89"/>
      <c r="AI64" s="89"/>
      <c r="AJ64" s="89"/>
      <c r="AK64" s="89"/>
      <c r="AL64" s="81"/>
      <c r="AM64" s="49"/>
      <c r="AN64" s="49"/>
      <c r="AO64" s="49"/>
      <c r="AP64" s="49"/>
      <c r="AQ64" s="49"/>
      <c r="AR64" s="49"/>
      <c r="AS64" s="49"/>
      <c r="AT64" s="49"/>
      <c r="AU64" s="49"/>
      <c r="AV64" s="49"/>
      <c r="AW64" s="49"/>
      <c r="AX64" s="49"/>
      <c r="AY64" s="49"/>
      <c r="AZ64" s="49"/>
      <c r="BA64" s="49"/>
      <c r="BB64" s="49"/>
      <c r="BC64" s="49"/>
      <c r="BD64" s="49"/>
      <c r="BE64" s="49"/>
      <c r="BF64" s="49"/>
      <c r="BG64" s="49"/>
      <c r="BH64" s="49"/>
      <c r="BI64" s="79"/>
      <c r="BJ64" s="79"/>
    </row>
    <row r="65" spans="1:62" ht="14.45">
      <c r="A65" s="46">
        <v>31</v>
      </c>
      <c r="B65" s="72">
        <v>2047</v>
      </c>
      <c r="C65" s="73"/>
      <c r="D65" s="74">
        <v>44.039090909090675</v>
      </c>
      <c r="E65" s="74">
        <v>39.409999999999997</v>
      </c>
      <c r="F65" s="74">
        <f>E65*'ON-P Fixed Inputs'!M65</f>
        <v>22.636101129580119</v>
      </c>
      <c r="G65" s="80">
        <f t="shared" si="1"/>
        <v>4.4039090909090674E-2</v>
      </c>
      <c r="I65" s="46">
        <v>31</v>
      </c>
      <c r="J65" s="72" t="s">
        <v>83</v>
      </c>
      <c r="K65" s="73">
        <f t="shared" si="2"/>
        <v>185.30242933570975</v>
      </c>
      <c r="L65" s="72">
        <v>2047</v>
      </c>
      <c r="M65" s="76">
        <f t="shared" si="0"/>
        <v>0.57437455289469985</v>
      </c>
      <c r="N65" s="91"/>
      <c r="O65" s="81"/>
      <c r="P65" s="92"/>
      <c r="Q65" s="93"/>
      <c r="R65" s="81"/>
      <c r="S65" s="94"/>
      <c r="T65" s="93"/>
      <c r="U65" s="93"/>
      <c r="V65" s="93"/>
      <c r="W65" s="93"/>
      <c r="X65" s="97"/>
      <c r="Y65" s="95"/>
      <c r="Z65" s="93"/>
      <c r="AA65" s="93"/>
      <c r="AB65" s="93"/>
      <c r="AC65" s="93"/>
      <c r="AD65" s="81"/>
      <c r="AE65" s="95"/>
      <c r="AF65" s="95"/>
      <c r="AG65" s="89"/>
      <c r="AH65" s="89"/>
      <c r="AI65" s="89"/>
      <c r="AJ65" s="89"/>
      <c r="AK65" s="89"/>
      <c r="AL65" s="81"/>
      <c r="AM65" s="49"/>
      <c r="AN65" s="49"/>
      <c r="AO65" s="49"/>
      <c r="AP65" s="49"/>
      <c r="AQ65" s="49"/>
      <c r="AR65" s="49"/>
      <c r="AS65" s="49"/>
      <c r="AT65" s="49"/>
      <c r="AU65" s="49"/>
      <c r="AV65" s="49"/>
      <c r="AW65" s="49"/>
      <c r="AX65" s="49"/>
      <c r="AY65" s="49"/>
      <c r="AZ65" s="49"/>
      <c r="BA65" s="49"/>
      <c r="BB65" s="49"/>
      <c r="BC65" s="49"/>
      <c r="BD65" s="49"/>
      <c r="BE65" s="49"/>
      <c r="BF65" s="49"/>
      <c r="BG65" s="49"/>
      <c r="BH65" s="49"/>
      <c r="BI65" s="79"/>
      <c r="BJ65" s="79"/>
    </row>
    <row r="66" spans="1:62" ht="14.45">
      <c r="A66" s="46">
        <v>32</v>
      </c>
      <c r="B66" s="72">
        <v>2048</v>
      </c>
      <c r="C66" s="73"/>
      <c r="D66" s="74">
        <v>32.692727272727041</v>
      </c>
      <c r="E66" s="74">
        <v>39.409999999999997</v>
      </c>
      <c r="F66" s="74">
        <f>E66*'ON-P Fixed Inputs'!M66</f>
        <v>22.192256009392278</v>
      </c>
      <c r="G66" s="80">
        <f t="shared" si="1"/>
        <v>3.269272727272704E-2</v>
      </c>
      <c r="I66" s="46">
        <v>32</v>
      </c>
      <c r="J66" s="72" t="s">
        <v>84</v>
      </c>
      <c r="K66" s="73">
        <f t="shared" si="2"/>
        <v>189.00847792242394</v>
      </c>
      <c r="L66" s="72">
        <v>2048</v>
      </c>
      <c r="M66" s="76">
        <f t="shared" si="0"/>
        <v>0.56311230675950974</v>
      </c>
      <c r="N66" s="91"/>
      <c r="O66" s="81"/>
      <c r="P66" s="92"/>
      <c r="Q66" s="93"/>
      <c r="R66" s="81"/>
      <c r="S66" s="94"/>
      <c r="T66" s="93"/>
      <c r="U66" s="93"/>
      <c r="V66" s="93"/>
      <c r="W66" s="93"/>
      <c r="X66" s="97"/>
      <c r="Y66" s="95"/>
      <c r="Z66" s="93"/>
      <c r="AA66" s="93"/>
      <c r="AB66" s="93"/>
      <c r="AC66" s="93"/>
      <c r="AD66" s="81"/>
      <c r="AE66" s="95"/>
      <c r="AF66" s="95"/>
      <c r="AG66" s="89"/>
      <c r="AH66" s="89"/>
      <c r="AI66" s="89"/>
      <c r="AJ66" s="89"/>
      <c r="AK66" s="89"/>
      <c r="AL66" s="81"/>
      <c r="AM66" s="49"/>
      <c r="AN66" s="49"/>
      <c r="AO66" s="49"/>
      <c r="AP66" s="49"/>
      <c r="AQ66" s="49"/>
      <c r="AR66" s="49"/>
      <c r="AS66" s="49"/>
      <c r="AT66" s="49"/>
      <c r="AU66" s="49"/>
      <c r="AV66" s="49"/>
      <c r="AW66" s="49"/>
      <c r="AX66" s="49"/>
      <c r="AY66" s="49"/>
      <c r="AZ66" s="49"/>
      <c r="BA66" s="49"/>
      <c r="BB66" s="49"/>
      <c r="BC66" s="49"/>
      <c r="BD66" s="49"/>
      <c r="BE66" s="49"/>
      <c r="BF66" s="49"/>
      <c r="BG66" s="49"/>
      <c r="BH66" s="49"/>
      <c r="BI66" s="79"/>
      <c r="BJ66" s="79"/>
    </row>
    <row r="67" spans="1:62" ht="14.45">
      <c r="A67" s="46">
        <v>33</v>
      </c>
      <c r="B67" s="72">
        <v>2049</v>
      </c>
      <c r="C67" s="73"/>
      <c r="D67" s="74">
        <v>21.346363636363407</v>
      </c>
      <c r="E67" s="74">
        <v>39.409999999999997</v>
      </c>
      <c r="F67" s="74">
        <f>E67*'ON-P Fixed Inputs'!M67</f>
        <v>21.757113734698311</v>
      </c>
      <c r="G67" s="80">
        <f t="shared" si="1"/>
        <v>2.1346363636363407E-2</v>
      </c>
      <c r="I67" s="46">
        <v>33</v>
      </c>
      <c r="J67" s="72" t="s">
        <v>85</v>
      </c>
      <c r="K67" s="73">
        <f t="shared" si="2"/>
        <v>192.78864748087241</v>
      </c>
      <c r="L67" s="72">
        <v>2049</v>
      </c>
      <c r="M67" s="76">
        <f t="shared" si="0"/>
        <v>0.55207088897991152</v>
      </c>
      <c r="N67" s="91"/>
      <c r="O67" s="81"/>
      <c r="P67" s="92"/>
      <c r="Q67" s="93"/>
      <c r="R67" s="81"/>
      <c r="S67" s="94"/>
      <c r="T67" s="93"/>
      <c r="U67" s="93"/>
      <c r="V67" s="93"/>
      <c r="W67" s="93"/>
      <c r="X67" s="97"/>
      <c r="Y67" s="95"/>
      <c r="Z67" s="93"/>
      <c r="AA67" s="93"/>
      <c r="AB67" s="93"/>
      <c r="AC67" s="93"/>
      <c r="AD67" s="81"/>
      <c r="AE67" s="95"/>
      <c r="AF67" s="95"/>
      <c r="AG67" s="89"/>
      <c r="AH67" s="89"/>
      <c r="AI67" s="89"/>
      <c r="AJ67" s="89"/>
      <c r="AK67" s="89"/>
      <c r="AL67" s="81"/>
      <c r="AM67" s="49"/>
      <c r="AN67" s="49"/>
      <c r="AO67" s="49"/>
      <c r="AP67" s="49"/>
      <c r="AQ67" s="49"/>
      <c r="AR67" s="49"/>
      <c r="AS67" s="49"/>
      <c r="AT67" s="49"/>
      <c r="AU67" s="49"/>
      <c r="AV67" s="49"/>
      <c r="AW67" s="49"/>
      <c r="AX67" s="49"/>
      <c r="AY67" s="49"/>
      <c r="AZ67" s="49"/>
      <c r="BA67" s="49"/>
      <c r="BB67" s="49"/>
      <c r="BC67" s="49"/>
      <c r="BD67" s="49"/>
      <c r="BE67" s="49"/>
      <c r="BF67" s="49"/>
      <c r="BG67" s="49"/>
      <c r="BH67" s="49"/>
      <c r="BI67" s="79"/>
      <c r="BJ67" s="79"/>
    </row>
    <row r="68" spans="1:62" ht="14.45">
      <c r="A68" s="46">
        <v>34</v>
      </c>
      <c r="B68" s="72">
        <v>2050</v>
      </c>
      <c r="C68" s="73"/>
      <c r="D68" s="74">
        <v>10</v>
      </c>
      <c r="E68" s="74">
        <v>39.409999999999997</v>
      </c>
      <c r="F68" s="74">
        <f>E68*'ON-P Fixed Inputs'!M68</f>
        <v>21.330503661468931</v>
      </c>
      <c r="G68" s="80">
        <f t="shared" si="1"/>
        <v>0.01</v>
      </c>
      <c r="I68" s="46">
        <v>34</v>
      </c>
      <c r="J68" s="72" t="s">
        <v>86</v>
      </c>
      <c r="K68" s="73">
        <f t="shared" si="2"/>
        <v>196.64442043048987</v>
      </c>
      <c r="L68" s="72">
        <v>2050</v>
      </c>
      <c r="M68" s="76">
        <f t="shared" si="0"/>
        <v>0.54124596958814852</v>
      </c>
      <c r="N68" s="91"/>
      <c r="O68" s="81"/>
      <c r="P68" s="92"/>
      <c r="Q68" s="93"/>
      <c r="R68" s="81"/>
      <c r="S68" s="94"/>
      <c r="T68" s="93"/>
      <c r="U68" s="93"/>
      <c r="V68" s="93"/>
      <c r="W68" s="93"/>
      <c r="X68" s="97"/>
      <c r="Y68" s="95"/>
      <c r="Z68" s="93"/>
      <c r="AA68" s="93"/>
      <c r="AB68" s="93"/>
      <c r="AC68" s="93"/>
      <c r="AD68" s="81"/>
      <c r="AE68" s="95"/>
      <c r="AF68" s="95"/>
      <c r="AG68" s="89"/>
      <c r="AH68" s="89"/>
      <c r="AI68" s="89"/>
      <c r="AJ68" s="89"/>
      <c r="AK68" s="89"/>
      <c r="AL68" s="81"/>
      <c r="AM68" s="49"/>
      <c r="AN68" s="49"/>
      <c r="AO68" s="49"/>
      <c r="AP68" s="49"/>
      <c r="AQ68" s="49"/>
      <c r="AR68" s="49"/>
      <c r="AS68" s="49"/>
      <c r="AT68" s="49"/>
      <c r="AU68" s="49"/>
      <c r="AV68" s="49"/>
      <c r="AW68" s="49"/>
      <c r="AX68" s="49"/>
      <c r="AY68" s="49"/>
      <c r="AZ68" s="49"/>
      <c r="BA68" s="49"/>
      <c r="BB68" s="49"/>
      <c r="BC68" s="49"/>
      <c r="BD68" s="49"/>
      <c r="BE68" s="49"/>
      <c r="BF68" s="49"/>
      <c r="BG68" s="49"/>
      <c r="BH68" s="49"/>
      <c r="BI68" s="79"/>
      <c r="BJ68" s="79"/>
    </row>
    <row r="69" spans="1:62" ht="14.45">
      <c r="A69" s="46">
        <v>35</v>
      </c>
      <c r="B69" s="72">
        <v>2051</v>
      </c>
      <c r="C69" s="73"/>
      <c r="D69" s="74">
        <v>10</v>
      </c>
      <c r="E69" s="74">
        <v>39.409999999999997</v>
      </c>
      <c r="F69" s="74">
        <f>E69*'ON-P Fixed Inputs'!M69</f>
        <v>20.912258491636205</v>
      </c>
      <c r="G69" s="80">
        <f t="shared" si="1"/>
        <v>0.01</v>
      </c>
      <c r="I69" s="46">
        <v>35</v>
      </c>
      <c r="J69" s="72" t="s">
        <v>87</v>
      </c>
      <c r="K69" s="73">
        <f t="shared" si="2"/>
        <v>200.57730883909969</v>
      </c>
      <c r="L69" s="72">
        <v>2051</v>
      </c>
      <c r="M69" s="76">
        <f t="shared" si="0"/>
        <v>0.53063330351779259</v>
      </c>
      <c r="N69" s="91"/>
      <c r="O69" s="81"/>
      <c r="P69" s="92"/>
      <c r="Q69" s="93"/>
      <c r="R69" s="81"/>
      <c r="S69" s="94"/>
      <c r="T69" s="93"/>
      <c r="U69" s="93"/>
      <c r="V69" s="93"/>
      <c r="W69" s="93"/>
      <c r="X69" s="97"/>
      <c r="Y69" s="95"/>
      <c r="Z69" s="93"/>
      <c r="AA69" s="93"/>
      <c r="AB69" s="93"/>
      <c r="AC69" s="93"/>
      <c r="AD69" s="81"/>
      <c r="AE69" s="95"/>
      <c r="AF69" s="95"/>
      <c r="AG69" s="89"/>
      <c r="AH69" s="89"/>
      <c r="AI69" s="89"/>
      <c r="AJ69" s="89"/>
      <c r="AK69" s="89"/>
      <c r="AL69" s="81"/>
      <c r="AM69" s="49"/>
      <c r="AN69" s="49"/>
      <c r="AO69" s="49"/>
      <c r="AP69" s="49"/>
      <c r="AQ69" s="49"/>
      <c r="AR69" s="49"/>
      <c r="AS69" s="49"/>
      <c r="AT69" s="49"/>
      <c r="AU69" s="49"/>
      <c r="AV69" s="49"/>
      <c r="AW69" s="49"/>
      <c r="AX69" s="49"/>
      <c r="AY69" s="49"/>
      <c r="AZ69" s="49"/>
      <c r="BA69" s="49"/>
      <c r="BB69" s="49"/>
      <c r="BC69" s="49"/>
      <c r="BD69" s="49"/>
      <c r="BE69" s="49"/>
      <c r="BF69" s="49"/>
      <c r="BG69" s="49"/>
      <c r="BH69" s="49"/>
      <c r="BI69" s="79"/>
      <c r="BJ69" s="79"/>
    </row>
    <row r="70" spans="1:62" ht="14.45">
      <c r="A70" s="46">
        <v>36</v>
      </c>
      <c r="B70" s="72">
        <v>2052</v>
      </c>
      <c r="C70" s="73"/>
      <c r="D70" s="74">
        <v>10</v>
      </c>
      <c r="E70" s="74">
        <v>39.409999999999997</v>
      </c>
      <c r="F70" s="74">
        <f>E70*'ON-P Fixed Inputs'!M70</f>
        <v>20.502214207486478</v>
      </c>
      <c r="G70" s="80">
        <f t="shared" si="1"/>
        <v>0.01</v>
      </c>
      <c r="I70" s="46">
        <v>36</v>
      </c>
      <c r="J70" s="72" t="s">
        <v>88</v>
      </c>
      <c r="K70" s="73">
        <f t="shared" si="2"/>
        <v>204.58885501588168</v>
      </c>
      <c r="L70" s="72">
        <v>2052</v>
      </c>
      <c r="M70" s="76">
        <f t="shared" si="0"/>
        <v>0.5202287289390124</v>
      </c>
      <c r="N70" s="91"/>
      <c r="O70" s="81"/>
      <c r="P70" s="92"/>
      <c r="Q70" s="93"/>
      <c r="R70" s="81"/>
      <c r="S70" s="94"/>
      <c r="T70" s="93"/>
      <c r="U70" s="93"/>
      <c r="V70" s="93"/>
      <c r="W70" s="93"/>
      <c r="X70" s="97"/>
      <c r="Y70" s="95"/>
      <c r="Z70" s="93"/>
      <c r="AA70" s="93"/>
      <c r="AB70" s="93"/>
      <c r="AC70" s="93"/>
      <c r="AD70" s="81"/>
      <c r="AE70" s="95"/>
      <c r="AF70" s="95"/>
      <c r="AG70" s="89"/>
      <c r="AH70" s="89"/>
      <c r="AI70" s="89"/>
      <c r="AJ70" s="89"/>
      <c r="AK70" s="89"/>
      <c r="AL70" s="81"/>
      <c r="AM70" s="49"/>
      <c r="AN70" s="49"/>
      <c r="AO70" s="49"/>
      <c r="AP70" s="49"/>
      <c r="AQ70" s="49"/>
      <c r="AR70" s="49"/>
      <c r="AS70" s="49"/>
      <c r="AT70" s="49"/>
      <c r="AU70" s="49"/>
      <c r="AV70" s="49"/>
      <c r="AW70" s="49"/>
      <c r="AX70" s="49"/>
      <c r="AY70" s="49"/>
      <c r="AZ70" s="49"/>
      <c r="BA70" s="49"/>
      <c r="BB70" s="49"/>
      <c r="BC70" s="49"/>
      <c r="BD70" s="49"/>
      <c r="BE70" s="49"/>
      <c r="BF70" s="49"/>
      <c r="BG70" s="49"/>
      <c r="BH70" s="49"/>
      <c r="BI70" s="79"/>
      <c r="BJ70" s="79"/>
    </row>
    <row r="71" spans="1:62" ht="14.45">
      <c r="A71" s="46">
        <v>37</v>
      </c>
      <c r="B71" s="72">
        <v>2053</v>
      </c>
      <c r="C71" s="73"/>
      <c r="D71" s="74">
        <v>10</v>
      </c>
      <c r="E71" s="74">
        <v>39.409999999999997</v>
      </c>
      <c r="F71" s="74">
        <f>E71*'ON-P Fixed Inputs'!M71</f>
        <v>20.10021000733968</v>
      </c>
      <c r="G71" s="80">
        <f t="shared" si="1"/>
        <v>0.01</v>
      </c>
      <c r="I71" s="46">
        <v>37</v>
      </c>
      <c r="J71" s="72" t="s">
        <v>89</v>
      </c>
      <c r="K71" s="73">
        <f t="shared" si="2"/>
        <v>208.68063211619932</v>
      </c>
      <c r="L71" s="72">
        <v>2053</v>
      </c>
      <c r="M71" s="76">
        <f t="shared" si="0"/>
        <v>0.51002816562648268</v>
      </c>
      <c r="N71" s="94"/>
      <c r="O71" s="93"/>
      <c r="P71" s="93"/>
      <c r="Q71" s="93"/>
      <c r="R71" s="93"/>
      <c r="S71" s="97"/>
      <c r="T71" s="95"/>
      <c r="U71" s="93"/>
      <c r="V71" s="93"/>
      <c r="W71" s="93"/>
      <c r="X71" s="93"/>
      <c r="Y71" s="81"/>
      <c r="Z71" s="95"/>
      <c r="AA71" s="95"/>
      <c r="AB71" s="89"/>
      <c r="AC71" s="89"/>
      <c r="AD71" s="89"/>
      <c r="AE71" s="89"/>
      <c r="AF71" s="89"/>
      <c r="AG71" s="81"/>
      <c r="AH71" s="49"/>
      <c r="AI71" s="49"/>
      <c r="AJ71" s="49"/>
      <c r="AK71" s="49"/>
      <c r="AL71" s="49"/>
      <c r="AM71" s="49"/>
      <c r="AN71" s="49"/>
      <c r="AO71" s="49"/>
      <c r="AP71" s="49"/>
      <c r="AQ71" s="49"/>
      <c r="AR71" s="49"/>
      <c r="AS71" s="49"/>
      <c r="AT71" s="49"/>
      <c r="AU71" s="49"/>
      <c r="AV71" s="49"/>
      <c r="AW71" s="49"/>
      <c r="AX71" s="49"/>
      <c r="AY71" s="49"/>
      <c r="AZ71" s="49"/>
      <c r="BA71" s="49"/>
      <c r="BB71" s="49"/>
      <c r="BC71" s="49"/>
      <c r="BD71" s="79"/>
      <c r="BE71" s="79"/>
    </row>
    <row r="72" spans="1:62" ht="14.45">
      <c r="A72" s="46">
        <v>38</v>
      </c>
      <c r="B72" s="72">
        <v>2054</v>
      </c>
      <c r="C72" s="73"/>
      <c r="D72" s="74">
        <v>10</v>
      </c>
      <c r="E72" s="74">
        <v>39.409999999999997</v>
      </c>
      <c r="F72" s="74">
        <f>E72*'ON-P Fixed Inputs'!M72</f>
        <v>19.70608824248988</v>
      </c>
      <c r="G72" s="80">
        <f t="shared" si="1"/>
        <v>0.01</v>
      </c>
      <c r="I72" s="46">
        <v>38</v>
      </c>
      <c r="J72" s="72" t="s">
        <v>90</v>
      </c>
      <c r="K72" s="73">
        <f t="shared" si="2"/>
        <v>212.85424475852332</v>
      </c>
      <c r="L72" s="72">
        <v>2054</v>
      </c>
      <c r="M72" s="76">
        <f t="shared" si="0"/>
        <v>0.50002761335929669</v>
      </c>
      <c r="N72" s="94"/>
      <c r="O72" s="93"/>
      <c r="P72" s="93"/>
      <c r="Q72" s="93"/>
      <c r="R72" s="93"/>
      <c r="S72" s="97"/>
      <c r="T72" s="95"/>
      <c r="U72" s="93"/>
      <c r="V72" s="93"/>
      <c r="W72" s="93"/>
      <c r="X72" s="93"/>
      <c r="Y72" s="81"/>
      <c r="Z72" s="95"/>
      <c r="AA72" s="95"/>
      <c r="AB72" s="89"/>
      <c r="AC72" s="89"/>
      <c r="AD72" s="89"/>
      <c r="AE72" s="89"/>
      <c r="AF72" s="89"/>
      <c r="AG72" s="81"/>
      <c r="AH72" s="49"/>
      <c r="AI72" s="49"/>
      <c r="AJ72" s="49"/>
      <c r="AK72" s="49"/>
      <c r="AL72" s="49"/>
      <c r="AM72" s="49"/>
      <c r="AN72" s="49"/>
      <c r="AO72" s="49"/>
      <c r="AP72" s="49"/>
      <c r="AQ72" s="49"/>
      <c r="AR72" s="49"/>
      <c r="AS72" s="49"/>
      <c r="AT72" s="49"/>
      <c r="AU72" s="49"/>
      <c r="AV72" s="49"/>
      <c r="AW72" s="49"/>
      <c r="AX72" s="49"/>
      <c r="AY72" s="49"/>
      <c r="AZ72" s="49"/>
      <c r="BA72" s="49"/>
      <c r="BB72" s="49"/>
      <c r="BC72" s="49"/>
      <c r="BD72" s="79"/>
      <c r="BE72" s="79"/>
    </row>
    <row r="73" spans="1:62" ht="14.45">
      <c r="A73" s="46">
        <v>39</v>
      </c>
      <c r="B73" s="72">
        <v>2055</v>
      </c>
      <c r="C73" s="73"/>
      <c r="D73" s="74">
        <v>10</v>
      </c>
      <c r="E73" s="74">
        <v>39.409999999999997</v>
      </c>
      <c r="F73" s="74">
        <f>E73*'ON-P Fixed Inputs'!M73</f>
        <v>19.319694355382236</v>
      </c>
      <c r="G73" s="80">
        <f t="shared" si="1"/>
        <v>0.01</v>
      </c>
      <c r="I73" s="46">
        <v>39</v>
      </c>
      <c r="J73" s="72" t="s">
        <v>91</v>
      </c>
      <c r="K73" s="73">
        <f t="shared" si="2"/>
        <v>217.11132965369379</v>
      </c>
      <c r="L73" s="72">
        <v>2055</v>
      </c>
      <c r="M73" s="76">
        <f t="shared" si="0"/>
        <v>0.49022315035225167</v>
      </c>
      <c r="N73" s="94"/>
      <c r="O73" s="93"/>
      <c r="P73" s="93"/>
      <c r="Q73" s="93"/>
      <c r="R73" s="93"/>
      <c r="S73" s="97"/>
      <c r="T73" s="95"/>
      <c r="U73" s="93"/>
      <c r="V73" s="93"/>
      <c r="W73" s="93"/>
      <c r="X73" s="93"/>
      <c r="Y73" s="81"/>
      <c r="Z73" s="95"/>
      <c r="AA73" s="95"/>
      <c r="AB73" s="89"/>
      <c r="AC73" s="89"/>
      <c r="AD73" s="89"/>
      <c r="AE73" s="89"/>
      <c r="AF73" s="89"/>
      <c r="AG73" s="81"/>
      <c r="AH73" s="49"/>
      <c r="AI73" s="49"/>
      <c r="AJ73" s="49"/>
      <c r="AK73" s="49"/>
      <c r="AL73" s="49"/>
      <c r="AM73" s="49"/>
      <c r="AN73" s="49"/>
      <c r="AO73" s="49"/>
      <c r="AP73" s="49"/>
      <c r="AQ73" s="49"/>
      <c r="AR73" s="49"/>
      <c r="AS73" s="49"/>
      <c r="AT73" s="49"/>
      <c r="AU73" s="49"/>
      <c r="AV73" s="49"/>
      <c r="AW73" s="49"/>
      <c r="AX73" s="49"/>
      <c r="AY73" s="49"/>
      <c r="AZ73" s="49"/>
      <c r="BA73" s="49"/>
      <c r="BB73" s="49"/>
      <c r="BC73" s="49"/>
      <c r="BD73" s="79"/>
      <c r="BE73" s="79"/>
    </row>
    <row r="74" spans="1:62" ht="14.45">
      <c r="A74" s="46">
        <v>40</v>
      </c>
      <c r="B74" s="72">
        <v>2056</v>
      </c>
      <c r="C74" s="73"/>
      <c r="D74" s="74">
        <v>10</v>
      </c>
      <c r="E74" s="74">
        <v>39.409999999999997</v>
      </c>
      <c r="F74" s="74">
        <f>E74*'ON-P Fixed Inputs'!M74</f>
        <v>18.940876819002192</v>
      </c>
      <c r="G74" s="80">
        <f t="shared" si="1"/>
        <v>0.01</v>
      </c>
      <c r="I74" s="46">
        <v>40</v>
      </c>
      <c r="J74" s="72" t="s">
        <v>92</v>
      </c>
      <c r="K74" s="73">
        <f t="shared" si="2"/>
        <v>221.45355624676768</v>
      </c>
      <c r="L74" s="72">
        <v>2056</v>
      </c>
      <c r="M74" s="76">
        <f t="shared" si="0"/>
        <v>0.48061093171789376</v>
      </c>
      <c r="N74" s="94"/>
      <c r="O74" s="93"/>
      <c r="P74" s="93"/>
      <c r="Q74" s="93"/>
      <c r="R74" s="93"/>
      <c r="S74" s="97"/>
      <c r="T74" s="95"/>
      <c r="U74" s="93"/>
      <c r="V74" s="93"/>
      <c r="W74" s="93"/>
      <c r="X74" s="93"/>
      <c r="Y74" s="81"/>
      <c r="Z74" s="95"/>
      <c r="AA74" s="95"/>
      <c r="AB74" s="89"/>
      <c r="AC74" s="89"/>
      <c r="AD74" s="89"/>
      <c r="AE74" s="89"/>
      <c r="AF74" s="89"/>
      <c r="AG74" s="81"/>
      <c r="AH74" s="49"/>
      <c r="AI74" s="49"/>
      <c r="AJ74" s="49"/>
      <c r="AK74" s="49"/>
      <c r="AL74" s="49"/>
      <c r="AM74" s="49"/>
      <c r="AN74" s="49"/>
      <c r="AO74" s="49"/>
      <c r="AP74" s="49"/>
      <c r="AQ74" s="49"/>
      <c r="AR74" s="49"/>
      <c r="AS74" s="49"/>
      <c r="AT74" s="49"/>
      <c r="AU74" s="49"/>
      <c r="AV74" s="49"/>
      <c r="AW74" s="49"/>
      <c r="AX74" s="49"/>
      <c r="AY74" s="49"/>
      <c r="AZ74" s="49"/>
      <c r="BA74" s="49"/>
      <c r="BB74" s="49"/>
      <c r="BC74" s="49"/>
      <c r="BD74" s="79"/>
      <c r="BE74" s="79"/>
    </row>
    <row r="75" spans="1:62" ht="14.45">
      <c r="A75" s="46">
        <v>41</v>
      </c>
      <c r="B75" s="72">
        <v>2057</v>
      </c>
      <c r="C75" s="73"/>
      <c r="D75" s="74">
        <v>10</v>
      </c>
      <c r="E75" s="74">
        <v>39.409999999999997</v>
      </c>
      <c r="F75" s="74">
        <f>E75*'ON-P Fixed Inputs'!M75</f>
        <v>18.569487077453129</v>
      </c>
      <c r="G75" s="80">
        <f t="shared" si="1"/>
        <v>0.01</v>
      </c>
      <c r="I75" s="46">
        <v>41</v>
      </c>
      <c r="J75" s="72" t="s">
        <v>93</v>
      </c>
      <c r="K75" s="73">
        <f t="shared" si="2"/>
        <v>225.88262737170302</v>
      </c>
      <c r="L75" s="72">
        <v>2057</v>
      </c>
      <c r="M75" s="76">
        <f t="shared" si="0"/>
        <v>0.47118718795871939</v>
      </c>
      <c r="N75" s="94"/>
      <c r="O75" s="93"/>
      <c r="P75" s="93"/>
      <c r="Q75" s="93"/>
      <c r="R75" s="93"/>
      <c r="S75" s="97"/>
      <c r="T75" s="95"/>
      <c r="U75" s="93"/>
      <c r="V75" s="93"/>
      <c r="W75" s="93"/>
      <c r="X75" s="93"/>
      <c r="Y75" s="81"/>
      <c r="Z75" s="95"/>
      <c r="AA75" s="95"/>
      <c r="AB75" s="89"/>
      <c r="AC75" s="89"/>
      <c r="AD75" s="89"/>
      <c r="AE75" s="89"/>
      <c r="AF75" s="89"/>
      <c r="AG75" s="81"/>
      <c r="AH75" s="49"/>
      <c r="AI75" s="49"/>
      <c r="AJ75" s="49"/>
      <c r="AK75" s="49"/>
      <c r="AL75" s="49"/>
      <c r="AM75" s="49"/>
      <c r="AN75" s="49"/>
      <c r="AO75" s="49"/>
      <c r="AP75" s="49"/>
      <c r="AQ75" s="49"/>
      <c r="AR75" s="49"/>
      <c r="AS75" s="49"/>
      <c r="AT75" s="49"/>
      <c r="AU75" s="49"/>
      <c r="AV75" s="49"/>
      <c r="AW75" s="49"/>
      <c r="AX75" s="49"/>
      <c r="AY75" s="49"/>
      <c r="AZ75" s="49"/>
      <c r="BA75" s="49"/>
      <c r="BB75" s="49"/>
      <c r="BC75" s="49"/>
      <c r="BD75" s="79"/>
      <c r="BE75" s="79"/>
    </row>
    <row r="76" spans="1:62" ht="14.45">
      <c r="A76" s="46">
        <v>42</v>
      </c>
      <c r="B76" s="72">
        <v>2058</v>
      </c>
      <c r="C76" s="73"/>
      <c r="D76" s="100">
        <v>10</v>
      </c>
      <c r="E76" s="74">
        <v>39.409999999999997</v>
      </c>
      <c r="F76" s="74">
        <f>E76*'ON-P Fixed Inputs'!M76</f>
        <v>18.205379487699144</v>
      </c>
      <c r="G76" s="80">
        <f t="shared" si="1"/>
        <v>0.01</v>
      </c>
      <c r="I76" s="46">
        <v>42</v>
      </c>
      <c r="J76" s="72" t="str">
        <f t="shared" ref="J76:J105" si="3">(LEFT(J75,4)+1)&amp;"/"&amp;(RIGHT(J75,2)+1)</f>
        <v>2057/58</v>
      </c>
      <c r="K76" s="73">
        <f t="shared" si="2"/>
        <v>230.40027991913709</v>
      </c>
      <c r="L76" s="72">
        <v>2058</v>
      </c>
      <c r="M76" s="76">
        <f t="shared" si="0"/>
        <v>0.46194822348894055</v>
      </c>
      <c r="N76" s="94"/>
      <c r="O76" s="93"/>
      <c r="P76" s="93"/>
      <c r="Q76" s="93"/>
      <c r="R76" s="93"/>
      <c r="S76" s="97"/>
      <c r="T76" s="95"/>
      <c r="U76" s="93"/>
      <c r="V76" s="93"/>
      <c r="W76" s="93"/>
      <c r="X76" s="93"/>
      <c r="Y76" s="81"/>
      <c r="Z76" s="95"/>
      <c r="AA76" s="95"/>
      <c r="AB76" s="89"/>
      <c r="AC76" s="89"/>
      <c r="AD76" s="89"/>
      <c r="AE76" s="89"/>
      <c r="AF76" s="89"/>
      <c r="AG76" s="81"/>
      <c r="AH76" s="49"/>
      <c r="AI76" s="49"/>
      <c r="AJ76" s="49"/>
      <c r="AK76" s="49"/>
      <c r="AL76" s="49"/>
      <c r="AM76" s="49"/>
      <c r="AN76" s="49"/>
      <c r="AO76" s="49"/>
      <c r="AP76" s="49"/>
      <c r="AQ76" s="49"/>
      <c r="AR76" s="49"/>
      <c r="AS76" s="49"/>
      <c r="AT76" s="49"/>
      <c r="AU76" s="49"/>
      <c r="AV76" s="49"/>
      <c r="AW76" s="49"/>
      <c r="AX76" s="49"/>
      <c r="AY76" s="49"/>
      <c r="AZ76" s="49"/>
      <c r="BA76" s="49"/>
      <c r="BB76" s="49"/>
      <c r="BC76" s="49"/>
      <c r="BD76" s="79"/>
      <c r="BE76" s="79"/>
    </row>
    <row r="77" spans="1:62" ht="14.45">
      <c r="A77" s="46">
        <v>43</v>
      </c>
      <c r="B77" s="72">
        <v>2059</v>
      </c>
      <c r="C77" s="73"/>
      <c r="D77" s="100">
        <v>10</v>
      </c>
      <c r="E77" s="74">
        <v>39.409999999999997</v>
      </c>
      <c r="F77" s="74">
        <f>E77*'ON-P Fixed Inputs'!M77</f>
        <v>17.848411262450146</v>
      </c>
      <c r="G77" s="80">
        <f t="shared" si="1"/>
        <v>0.01</v>
      </c>
      <c r="I77" s="46">
        <v>43</v>
      </c>
      <c r="J77" s="72" t="str">
        <f t="shared" si="3"/>
        <v>2058/59</v>
      </c>
      <c r="K77" s="73">
        <f t="shared" si="2"/>
        <v>235.00828551751982</v>
      </c>
      <c r="L77" s="72">
        <v>2059</v>
      </c>
      <c r="M77" s="76">
        <f t="shared" si="0"/>
        <v>0.45289041518523587</v>
      </c>
      <c r="N77" s="94"/>
      <c r="O77" s="93"/>
      <c r="P77" s="93"/>
      <c r="Q77" s="93"/>
      <c r="R77" s="93"/>
      <c r="S77" s="97"/>
      <c r="T77" s="95"/>
      <c r="U77" s="93"/>
      <c r="V77" s="93"/>
      <c r="W77" s="93"/>
      <c r="X77" s="93"/>
      <c r="Y77" s="81"/>
      <c r="Z77" s="95"/>
      <c r="AA77" s="95"/>
      <c r="AB77" s="89"/>
      <c r="AC77" s="89"/>
      <c r="AD77" s="89"/>
      <c r="AE77" s="89"/>
      <c r="AF77" s="89"/>
      <c r="AG77" s="81"/>
      <c r="AH77" s="49"/>
      <c r="AI77" s="49"/>
      <c r="AJ77" s="49"/>
      <c r="AK77" s="49"/>
      <c r="AL77" s="49"/>
      <c r="AM77" s="49"/>
      <c r="AN77" s="49"/>
      <c r="AO77" s="49"/>
      <c r="AP77" s="49"/>
      <c r="AQ77" s="49"/>
      <c r="AR77" s="49"/>
      <c r="AS77" s="49"/>
      <c r="AT77" s="49"/>
      <c r="AU77" s="49"/>
      <c r="AV77" s="49"/>
      <c r="AW77" s="49"/>
      <c r="AX77" s="49"/>
      <c r="AY77" s="49"/>
      <c r="AZ77" s="49"/>
      <c r="BA77" s="49"/>
      <c r="BB77" s="49"/>
      <c r="BC77" s="49"/>
      <c r="BD77" s="79"/>
      <c r="BE77" s="79"/>
    </row>
    <row r="78" spans="1:62" ht="14.45">
      <c r="A78" s="46">
        <v>44</v>
      </c>
      <c r="B78" s="72">
        <v>2060</v>
      </c>
      <c r="C78" s="73"/>
      <c r="D78" s="100">
        <v>10</v>
      </c>
      <c r="E78" s="74">
        <v>39.409999999999997</v>
      </c>
      <c r="F78" s="74">
        <f>E78*'ON-P Fixed Inputs'!M78</f>
        <v>17.49844241416681</v>
      </c>
      <c r="G78" s="80">
        <f t="shared" si="1"/>
        <v>0.01</v>
      </c>
      <c r="I78" s="46">
        <v>44</v>
      </c>
      <c r="J78" s="72" t="str">
        <f t="shared" si="3"/>
        <v>2059/60</v>
      </c>
      <c r="K78" s="73">
        <f t="shared" si="2"/>
        <v>239.70845122787023</v>
      </c>
      <c r="L78" s="72">
        <v>2060</v>
      </c>
      <c r="M78" s="76">
        <f t="shared" si="0"/>
        <v>0.44401021096591753</v>
      </c>
      <c r="N78" s="94"/>
      <c r="O78" s="93"/>
      <c r="P78" s="93"/>
      <c r="Q78" s="93"/>
      <c r="R78" s="93"/>
      <c r="S78" s="97"/>
      <c r="T78" s="95"/>
      <c r="U78" s="93"/>
      <c r="V78" s="93"/>
      <c r="W78" s="93"/>
      <c r="X78" s="93"/>
      <c r="Y78" s="81"/>
      <c r="Z78" s="95"/>
      <c r="AA78" s="95"/>
      <c r="AB78" s="89"/>
      <c r="AC78" s="89"/>
      <c r="AD78" s="89"/>
      <c r="AE78" s="89"/>
      <c r="AF78" s="89"/>
      <c r="AG78" s="81"/>
      <c r="AH78" s="49"/>
      <c r="AI78" s="49"/>
      <c r="AJ78" s="49"/>
      <c r="AK78" s="49"/>
      <c r="AL78" s="49"/>
      <c r="AM78" s="49"/>
      <c r="AN78" s="49"/>
      <c r="AO78" s="49"/>
      <c r="AP78" s="49"/>
      <c r="AQ78" s="49"/>
      <c r="AR78" s="49"/>
      <c r="AS78" s="49"/>
      <c r="AT78" s="49"/>
      <c r="AU78" s="49"/>
      <c r="AV78" s="49"/>
      <c r="AW78" s="49"/>
      <c r="AX78" s="49"/>
      <c r="AY78" s="49"/>
      <c r="AZ78" s="49"/>
      <c r="BA78" s="49"/>
      <c r="BB78" s="49"/>
      <c r="BC78" s="49"/>
      <c r="BD78" s="79"/>
      <c r="BE78" s="79"/>
    </row>
    <row r="79" spans="1:62" ht="14.45">
      <c r="A79" s="46">
        <v>45</v>
      </c>
      <c r="B79" s="72">
        <v>2061</v>
      </c>
      <c r="C79" s="73"/>
      <c r="D79" s="100">
        <v>10</v>
      </c>
      <c r="E79" s="74">
        <v>39.409999999999997</v>
      </c>
      <c r="F79" s="74">
        <f>E79*'ON-P Fixed Inputs'!M79</f>
        <v>17.155335700163533</v>
      </c>
      <c r="G79" s="80">
        <f t="shared" si="1"/>
        <v>0.01</v>
      </c>
      <c r="I79" s="46">
        <v>45</v>
      </c>
      <c r="J79" s="72" t="str">
        <f t="shared" si="3"/>
        <v>2060/61</v>
      </c>
      <c r="K79" s="73">
        <f t="shared" si="2"/>
        <v>244.50262025242765</v>
      </c>
      <c r="L79" s="72">
        <v>2061</v>
      </c>
      <c r="M79" s="76">
        <f t="shared" si="0"/>
        <v>0.43530412839795829</v>
      </c>
      <c r="N79" s="94"/>
      <c r="O79" s="93"/>
      <c r="P79" s="93"/>
      <c r="Q79" s="93"/>
      <c r="R79" s="93"/>
      <c r="S79" s="97"/>
      <c r="T79" s="95"/>
      <c r="U79" s="93"/>
      <c r="V79" s="93"/>
      <c r="W79" s="93"/>
      <c r="X79" s="93"/>
      <c r="Y79" s="81"/>
      <c r="Z79" s="95"/>
      <c r="AA79" s="95"/>
      <c r="AB79" s="89"/>
      <c r="AC79" s="89"/>
      <c r="AD79" s="89"/>
      <c r="AE79" s="89"/>
      <c r="AF79" s="89"/>
      <c r="AG79" s="81"/>
      <c r="AH79" s="49"/>
      <c r="AI79" s="49"/>
      <c r="AJ79" s="49"/>
      <c r="AK79" s="49"/>
      <c r="AL79" s="49"/>
      <c r="AM79" s="49"/>
      <c r="AN79" s="49"/>
      <c r="AO79" s="49"/>
      <c r="AP79" s="49"/>
      <c r="AQ79" s="49"/>
      <c r="AR79" s="49"/>
      <c r="AS79" s="49"/>
      <c r="AT79" s="49"/>
      <c r="AU79" s="49"/>
      <c r="AV79" s="49"/>
      <c r="AW79" s="49"/>
      <c r="AX79" s="49"/>
      <c r="AY79" s="49"/>
      <c r="AZ79" s="49"/>
      <c r="BA79" s="49"/>
      <c r="BB79" s="49"/>
      <c r="BC79" s="49"/>
      <c r="BD79" s="79"/>
      <c r="BE79" s="79"/>
    </row>
    <row r="80" spans="1:62" ht="14.45">
      <c r="A80" s="46">
        <v>46</v>
      </c>
      <c r="B80" s="72">
        <v>2062</v>
      </c>
      <c r="C80" s="73"/>
      <c r="D80" s="100">
        <v>10</v>
      </c>
      <c r="E80" s="74">
        <v>39.409999999999997</v>
      </c>
      <c r="F80" s="74">
        <f>E80*'ON-P Fixed Inputs'!M80</f>
        <v>16.81895656878778</v>
      </c>
      <c r="G80" s="80">
        <f t="shared" si="1"/>
        <v>0.01</v>
      </c>
      <c r="I80" s="46">
        <v>46</v>
      </c>
      <c r="J80" s="72" t="str">
        <f t="shared" si="3"/>
        <v>2061/62</v>
      </c>
      <c r="K80" s="73">
        <f t="shared" si="2"/>
        <v>249.3926726574762</v>
      </c>
      <c r="L80" s="72">
        <v>2062</v>
      </c>
      <c r="M80" s="76">
        <f t="shared" si="0"/>
        <v>0.42676875333133168</v>
      </c>
      <c r="N80" s="94"/>
      <c r="O80" s="93"/>
      <c r="P80" s="93"/>
      <c r="Q80" s="93"/>
      <c r="R80" s="93"/>
      <c r="S80" s="97"/>
      <c r="T80" s="95"/>
      <c r="U80" s="93"/>
      <c r="V80" s="93"/>
      <c r="W80" s="93"/>
      <c r="X80" s="93"/>
      <c r="Y80" s="81"/>
      <c r="Z80" s="95"/>
      <c r="AA80" s="95"/>
      <c r="AB80" s="89"/>
      <c r="AC80" s="89"/>
      <c r="AD80" s="89"/>
      <c r="AE80" s="89"/>
      <c r="AF80" s="89"/>
      <c r="AG80" s="81"/>
      <c r="AH80" s="49"/>
      <c r="AI80" s="49"/>
      <c r="AJ80" s="49"/>
      <c r="AK80" s="49"/>
      <c r="AL80" s="49"/>
      <c r="AM80" s="49"/>
      <c r="AN80" s="49"/>
      <c r="AO80" s="49"/>
      <c r="AP80" s="49"/>
      <c r="AQ80" s="49"/>
      <c r="AR80" s="49"/>
      <c r="AS80" s="49"/>
      <c r="AT80" s="49"/>
      <c r="AU80" s="49"/>
      <c r="AV80" s="49"/>
      <c r="AW80" s="49"/>
      <c r="AX80" s="49"/>
      <c r="AY80" s="49"/>
      <c r="AZ80" s="49"/>
      <c r="BA80" s="49"/>
      <c r="BB80" s="49"/>
      <c r="BC80" s="49"/>
      <c r="BD80" s="79"/>
      <c r="BE80" s="79"/>
    </row>
    <row r="81" spans="1:57" ht="14.45">
      <c r="A81" s="46">
        <v>47</v>
      </c>
      <c r="B81" s="72">
        <v>2063</v>
      </c>
      <c r="C81" s="73"/>
      <c r="D81" s="100">
        <v>10</v>
      </c>
      <c r="E81" s="74">
        <v>39.409999999999997</v>
      </c>
      <c r="F81" s="74">
        <f>E81*'ON-P Fixed Inputs'!M81</f>
        <v>16.489173106654686</v>
      </c>
      <c r="G81" s="80">
        <f t="shared" si="1"/>
        <v>0.01</v>
      </c>
      <c r="I81" s="46">
        <v>47</v>
      </c>
      <c r="J81" s="72" t="str">
        <f t="shared" si="3"/>
        <v>2062/63</v>
      </c>
      <c r="K81" s="73">
        <f t="shared" si="2"/>
        <v>254.38052611062574</v>
      </c>
      <c r="L81" s="72">
        <v>2063</v>
      </c>
      <c r="M81" s="76">
        <f t="shared" si="0"/>
        <v>0.41840073856012905</v>
      </c>
      <c r="N81" s="94"/>
      <c r="O81" s="93"/>
      <c r="P81" s="93"/>
      <c r="Q81" s="93"/>
      <c r="R81" s="93"/>
      <c r="S81" s="97"/>
      <c r="T81" s="95"/>
      <c r="U81" s="93"/>
      <c r="V81" s="93"/>
      <c r="W81" s="93"/>
      <c r="X81" s="93"/>
      <c r="Y81" s="81"/>
      <c r="Z81" s="95"/>
      <c r="AA81" s="95"/>
      <c r="AB81" s="89"/>
      <c r="AC81" s="89"/>
      <c r="AD81" s="89"/>
      <c r="AE81" s="89"/>
      <c r="AF81" s="89"/>
      <c r="AG81" s="81"/>
      <c r="AH81" s="49"/>
      <c r="AI81" s="49"/>
      <c r="AJ81" s="49"/>
      <c r="AK81" s="49"/>
      <c r="AL81" s="49"/>
      <c r="AM81" s="49"/>
      <c r="AN81" s="49"/>
      <c r="AO81" s="49"/>
      <c r="AP81" s="49"/>
      <c r="AQ81" s="49"/>
      <c r="AR81" s="49"/>
      <c r="AS81" s="49"/>
      <c r="AT81" s="49"/>
      <c r="AU81" s="49"/>
      <c r="AV81" s="49"/>
      <c r="AW81" s="49"/>
      <c r="AX81" s="49"/>
      <c r="AY81" s="49"/>
      <c r="AZ81" s="49"/>
      <c r="BA81" s="49"/>
      <c r="BB81" s="49"/>
      <c r="BC81" s="49"/>
      <c r="BD81" s="79"/>
      <c r="BE81" s="79"/>
    </row>
    <row r="82" spans="1:57" ht="14.45">
      <c r="A82" s="46">
        <v>48</v>
      </c>
      <c r="B82" s="72">
        <v>2064</v>
      </c>
      <c r="C82" s="73"/>
      <c r="D82" s="100">
        <v>10</v>
      </c>
      <c r="E82" s="74">
        <v>39.409999999999997</v>
      </c>
      <c r="F82" s="74">
        <f>E82*'ON-P Fixed Inputs'!M82</f>
        <v>16.165855986916359</v>
      </c>
      <c r="G82" s="80">
        <f t="shared" si="1"/>
        <v>0.01</v>
      </c>
      <c r="I82" s="46">
        <v>48</v>
      </c>
      <c r="J82" s="72" t="str">
        <f t="shared" si="3"/>
        <v>2063/64</v>
      </c>
      <c r="K82" s="73">
        <f t="shared" si="2"/>
        <v>259.46813663283825</v>
      </c>
      <c r="L82" s="72">
        <v>2064</v>
      </c>
      <c r="M82" s="76">
        <f t="shared" si="0"/>
        <v>0.41019680250993046</v>
      </c>
      <c r="N82" s="94"/>
      <c r="O82" s="93"/>
      <c r="P82" s="93"/>
      <c r="Q82" s="93"/>
      <c r="R82" s="93"/>
      <c r="S82" s="97"/>
      <c r="T82" s="95"/>
      <c r="U82" s="93"/>
      <c r="V82" s="93"/>
      <c r="W82" s="93"/>
      <c r="X82" s="93"/>
      <c r="Y82" s="81"/>
      <c r="Z82" s="95"/>
      <c r="AA82" s="95"/>
      <c r="AB82" s="89"/>
      <c r="AC82" s="89"/>
      <c r="AD82" s="89"/>
      <c r="AE82" s="89"/>
      <c r="AF82" s="89"/>
      <c r="AG82" s="81"/>
      <c r="AH82" s="49"/>
      <c r="AI82" s="49"/>
      <c r="AJ82" s="49"/>
      <c r="AK82" s="49"/>
      <c r="AL82" s="49"/>
      <c r="AM82" s="49"/>
      <c r="AN82" s="49"/>
      <c r="AO82" s="49"/>
      <c r="AP82" s="49"/>
      <c r="AQ82" s="49"/>
      <c r="AR82" s="49"/>
      <c r="AS82" s="49"/>
      <c r="AT82" s="49"/>
      <c r="AU82" s="49"/>
      <c r="AV82" s="49"/>
      <c r="AW82" s="49"/>
      <c r="AX82" s="49"/>
      <c r="AY82" s="49"/>
      <c r="AZ82" s="49"/>
      <c r="BA82" s="49"/>
      <c r="BB82" s="49"/>
      <c r="BC82" s="49"/>
      <c r="BD82" s="79"/>
      <c r="BE82" s="79"/>
    </row>
    <row r="83" spans="1:57" ht="14.45">
      <c r="A83" s="46">
        <v>49</v>
      </c>
      <c r="B83" s="72">
        <v>2065</v>
      </c>
      <c r="C83" s="73"/>
      <c r="D83" s="100">
        <v>10</v>
      </c>
      <c r="E83" s="74">
        <v>39.409999999999997</v>
      </c>
      <c r="F83" s="74">
        <f>E83*'ON-P Fixed Inputs'!M83</f>
        <v>15.848878418545448</v>
      </c>
      <c r="G83" s="80">
        <f t="shared" si="1"/>
        <v>0.01</v>
      </c>
      <c r="I83" s="46">
        <v>49</v>
      </c>
      <c r="J83" s="72" t="str">
        <f t="shared" si="3"/>
        <v>2064/65</v>
      </c>
      <c r="K83" s="73">
        <f t="shared" si="2"/>
        <v>264.65749936549503</v>
      </c>
      <c r="L83" s="72">
        <v>2065</v>
      </c>
      <c r="M83" s="76">
        <f t="shared" si="0"/>
        <v>0.4021537279509122</v>
      </c>
      <c r="N83" s="94"/>
      <c r="O83" s="93"/>
      <c r="P83" s="93"/>
      <c r="Q83" s="93"/>
      <c r="R83" s="93"/>
      <c r="S83" s="97"/>
      <c r="T83" s="95"/>
      <c r="U83" s="93"/>
      <c r="V83" s="93"/>
      <c r="W83" s="93"/>
      <c r="X83" s="93"/>
      <c r="Y83" s="81"/>
      <c r="Z83" s="95"/>
      <c r="AA83" s="95"/>
      <c r="AB83" s="89"/>
      <c r="AC83" s="89"/>
      <c r="AD83" s="89"/>
      <c r="AE83" s="89"/>
      <c r="AF83" s="89"/>
      <c r="AG83" s="81"/>
      <c r="AH83" s="49"/>
      <c r="AI83" s="49"/>
      <c r="AJ83" s="49"/>
      <c r="AK83" s="49"/>
      <c r="AL83" s="49"/>
      <c r="AM83" s="49"/>
      <c r="AN83" s="49"/>
      <c r="AO83" s="49"/>
      <c r="AP83" s="49"/>
      <c r="AQ83" s="49"/>
      <c r="AR83" s="49"/>
      <c r="AS83" s="49"/>
      <c r="AT83" s="49"/>
      <c r="AU83" s="49"/>
      <c r="AV83" s="49"/>
      <c r="AW83" s="49"/>
      <c r="AX83" s="49"/>
      <c r="AY83" s="49"/>
      <c r="AZ83" s="49"/>
      <c r="BA83" s="49"/>
      <c r="BB83" s="49"/>
      <c r="BC83" s="49"/>
      <c r="BD83" s="79"/>
      <c r="BE83" s="79"/>
    </row>
    <row r="84" spans="1:57" ht="14.45">
      <c r="A84" s="46">
        <v>50</v>
      </c>
      <c r="B84" s="72">
        <v>2066</v>
      </c>
      <c r="C84" s="73"/>
      <c r="D84" s="100">
        <v>10</v>
      </c>
      <c r="E84" s="74">
        <v>39.409999999999997</v>
      </c>
      <c r="F84" s="74">
        <f>E84*'ON-P Fixed Inputs'!M84</f>
        <v>15.538116096613184</v>
      </c>
      <c r="G84" s="80">
        <f t="shared" si="1"/>
        <v>0.01</v>
      </c>
      <c r="I84" s="46">
        <v>50</v>
      </c>
      <c r="J84" s="72" t="str">
        <f t="shared" si="3"/>
        <v>2065/66</v>
      </c>
      <c r="K84" s="73">
        <f t="shared" si="2"/>
        <v>269.95064935280493</v>
      </c>
      <c r="L84" s="72">
        <v>2066</v>
      </c>
      <c r="M84" s="76">
        <f t="shared" si="0"/>
        <v>0.39426836073618843</v>
      </c>
      <c r="N84" s="94"/>
      <c r="O84" s="93"/>
      <c r="P84" s="93"/>
      <c r="Q84" s="93"/>
      <c r="R84" s="93"/>
      <c r="S84" s="97"/>
      <c r="T84" s="95"/>
      <c r="U84" s="93"/>
      <c r="V84" s="93"/>
      <c r="W84" s="93"/>
      <c r="X84" s="93"/>
      <c r="Y84" s="81"/>
      <c r="Z84" s="95"/>
      <c r="AA84" s="95"/>
      <c r="AB84" s="89"/>
      <c r="AC84" s="89"/>
      <c r="AD84" s="89"/>
      <c r="AE84" s="89"/>
      <c r="AF84" s="89"/>
      <c r="AG84" s="81"/>
      <c r="AH84" s="49"/>
      <c r="AI84" s="49"/>
      <c r="AJ84" s="49"/>
      <c r="AK84" s="49"/>
      <c r="AL84" s="49"/>
      <c r="AM84" s="49"/>
      <c r="AN84" s="49"/>
      <c r="AO84" s="49"/>
      <c r="AP84" s="49"/>
      <c r="AQ84" s="49"/>
      <c r="AR84" s="49"/>
      <c r="AS84" s="49"/>
      <c r="AT84" s="49"/>
      <c r="AU84" s="49"/>
      <c r="AV84" s="49"/>
      <c r="AW84" s="49"/>
      <c r="AX84" s="49"/>
      <c r="AY84" s="49"/>
      <c r="AZ84" s="49"/>
      <c r="BA84" s="49"/>
      <c r="BB84" s="49"/>
      <c r="BC84" s="49"/>
      <c r="BD84" s="79"/>
      <c r="BE84" s="79"/>
    </row>
    <row r="85" spans="1:57" ht="14.45">
      <c r="A85" s="46">
        <v>51</v>
      </c>
      <c r="B85" s="72">
        <v>2067</v>
      </c>
      <c r="C85" s="73"/>
      <c r="D85" s="100">
        <v>10</v>
      </c>
      <c r="E85" s="74">
        <v>39.409999999999997</v>
      </c>
      <c r="F85" s="74">
        <f>E85*'ON-P Fixed Inputs'!M85</f>
        <v>15.233447153542338</v>
      </c>
      <c r="G85" s="80">
        <f t="shared" si="1"/>
        <v>0.01</v>
      </c>
      <c r="I85" s="46">
        <v>51</v>
      </c>
      <c r="J85" s="72" t="str">
        <f t="shared" si="3"/>
        <v>2066/67</v>
      </c>
      <c r="K85" s="73">
        <f t="shared" si="2"/>
        <v>275.34966233986103</v>
      </c>
      <c r="L85" s="72">
        <v>2067</v>
      </c>
      <c r="M85" s="76">
        <f t="shared" si="0"/>
        <v>0.38653760856489061</v>
      </c>
      <c r="N85" s="94"/>
      <c r="O85" s="93"/>
      <c r="P85" s="93"/>
      <c r="Q85" s="93"/>
      <c r="R85" s="93"/>
      <c r="S85" s="97"/>
      <c r="T85" s="95"/>
      <c r="U85" s="93"/>
      <c r="V85" s="93"/>
      <c r="W85" s="93"/>
      <c r="X85" s="93"/>
      <c r="Y85" s="81"/>
      <c r="Z85" s="95"/>
      <c r="AA85" s="95"/>
      <c r="AB85" s="89"/>
      <c r="AC85" s="89"/>
      <c r="AD85" s="89"/>
      <c r="AE85" s="89"/>
      <c r="AF85" s="89"/>
      <c r="AG85" s="81"/>
      <c r="AH85" s="49"/>
      <c r="AI85" s="49"/>
      <c r="AJ85" s="49"/>
      <c r="AK85" s="49"/>
      <c r="AL85" s="49"/>
      <c r="AM85" s="49"/>
      <c r="AN85" s="49"/>
      <c r="AO85" s="49"/>
      <c r="AP85" s="49"/>
      <c r="AQ85" s="49"/>
      <c r="AR85" s="49"/>
      <c r="AS85" s="49"/>
      <c r="AT85" s="49"/>
      <c r="AU85" s="49"/>
      <c r="AV85" s="49"/>
      <c r="AW85" s="49"/>
      <c r="AX85" s="49"/>
      <c r="AY85" s="49"/>
      <c r="AZ85" s="49"/>
      <c r="BA85" s="49"/>
      <c r="BB85" s="49"/>
      <c r="BC85" s="49"/>
      <c r="BD85" s="79"/>
      <c r="BE85" s="79"/>
    </row>
    <row r="86" spans="1:57" ht="14.45">
      <c r="A86" s="46">
        <v>52</v>
      </c>
      <c r="B86" s="72">
        <v>2068</v>
      </c>
      <c r="C86" s="73"/>
      <c r="D86" s="100">
        <v>10</v>
      </c>
      <c r="E86" s="74">
        <v>39.409999999999997</v>
      </c>
      <c r="F86" s="74">
        <f>E86*'ON-P Fixed Inputs'!M86</f>
        <v>14.934752111316017</v>
      </c>
      <c r="G86" s="80">
        <f t="shared" si="1"/>
        <v>0.01</v>
      </c>
      <c r="I86" s="46">
        <v>52</v>
      </c>
      <c r="J86" s="72" t="str">
        <f t="shared" si="3"/>
        <v>2067/68</v>
      </c>
      <c r="K86" s="73">
        <f t="shared" si="2"/>
        <v>280.85665558665823</v>
      </c>
      <c r="L86" s="72">
        <v>2068</v>
      </c>
      <c r="M86" s="76">
        <f t="shared" ref="M86:M105" si="4">IFERROR(($K$37/$K86),"")</f>
        <v>0.37895843976950061</v>
      </c>
      <c r="N86" s="94"/>
      <c r="O86" s="93"/>
      <c r="P86" s="93"/>
      <c r="Q86" s="93"/>
      <c r="R86" s="93"/>
      <c r="S86" s="97"/>
      <c r="T86" s="95"/>
      <c r="U86" s="93"/>
      <c r="V86" s="93"/>
      <c r="W86" s="93"/>
      <c r="X86" s="93"/>
      <c r="Y86" s="81"/>
      <c r="Z86" s="95"/>
      <c r="AA86" s="95"/>
      <c r="AB86" s="89"/>
      <c r="AC86" s="89"/>
      <c r="AD86" s="89"/>
      <c r="AE86" s="89"/>
      <c r="AF86" s="89"/>
      <c r="AG86" s="81"/>
      <c r="AH86" s="49"/>
      <c r="AI86" s="49"/>
      <c r="AJ86" s="49"/>
      <c r="AK86" s="49"/>
      <c r="AL86" s="49"/>
      <c r="AM86" s="49"/>
      <c r="AN86" s="49"/>
      <c r="AO86" s="49"/>
      <c r="AP86" s="49"/>
      <c r="AQ86" s="49"/>
      <c r="AR86" s="49"/>
      <c r="AS86" s="49"/>
      <c r="AT86" s="49"/>
      <c r="AU86" s="49"/>
      <c r="AV86" s="49"/>
      <c r="AW86" s="49"/>
      <c r="AX86" s="49"/>
      <c r="AY86" s="49"/>
      <c r="AZ86" s="49"/>
      <c r="BA86" s="49"/>
      <c r="BB86" s="49"/>
      <c r="BC86" s="49"/>
      <c r="BD86" s="79"/>
      <c r="BE86" s="79"/>
    </row>
    <row r="87" spans="1:57" ht="14.45">
      <c r="A87" s="46">
        <v>53</v>
      </c>
      <c r="B87" s="72">
        <v>2069</v>
      </c>
      <c r="C87" s="73"/>
      <c r="D87" s="100">
        <v>10</v>
      </c>
      <c r="E87" s="74">
        <v>39.409999999999997</v>
      </c>
      <c r="F87" s="74">
        <f>E87*'ON-P Fixed Inputs'!M87</f>
        <v>14.641913834623548</v>
      </c>
      <c r="G87" s="80">
        <f t="shared" si="1"/>
        <v>0.01</v>
      </c>
      <c r="I87" s="46">
        <v>53</v>
      </c>
      <c r="J87" s="72" t="str">
        <f t="shared" si="3"/>
        <v>2068/69</v>
      </c>
      <c r="K87" s="73">
        <f t="shared" si="2"/>
        <v>286.47378869839139</v>
      </c>
      <c r="L87" s="72">
        <v>2069</v>
      </c>
      <c r="M87" s="76">
        <f t="shared" si="4"/>
        <v>0.37152788212696142</v>
      </c>
      <c r="N87" s="94"/>
      <c r="O87" s="93"/>
      <c r="P87" s="93"/>
      <c r="Q87" s="93"/>
      <c r="R87" s="93"/>
      <c r="S87" s="97"/>
      <c r="T87" s="95"/>
      <c r="U87" s="93"/>
      <c r="V87" s="93"/>
      <c r="W87" s="93"/>
      <c r="X87" s="93"/>
      <c r="Y87" s="81"/>
      <c r="Z87" s="95"/>
      <c r="AA87" s="95"/>
      <c r="AB87" s="89"/>
      <c r="AC87" s="89"/>
      <c r="AD87" s="89"/>
      <c r="AE87" s="89"/>
      <c r="AF87" s="89"/>
      <c r="AG87" s="81"/>
      <c r="AH87" s="49"/>
      <c r="AI87" s="49"/>
      <c r="AJ87" s="49"/>
      <c r="AK87" s="49"/>
      <c r="AL87" s="49"/>
      <c r="AM87" s="49"/>
      <c r="AN87" s="49"/>
      <c r="AO87" s="49"/>
      <c r="AP87" s="49"/>
      <c r="AQ87" s="49"/>
      <c r="AR87" s="49"/>
      <c r="AS87" s="49"/>
      <c r="AT87" s="49"/>
      <c r="AU87" s="49"/>
      <c r="AV87" s="49"/>
      <c r="AW87" s="49"/>
      <c r="AX87" s="49"/>
      <c r="AY87" s="49"/>
      <c r="AZ87" s="49"/>
      <c r="BA87" s="49"/>
      <c r="BB87" s="49"/>
      <c r="BC87" s="49"/>
      <c r="BD87" s="79"/>
      <c r="BE87" s="79"/>
    </row>
    <row r="88" spans="1:57" ht="14.45">
      <c r="A88" s="46">
        <v>54</v>
      </c>
      <c r="B88" s="72">
        <v>2070</v>
      </c>
      <c r="C88" s="73"/>
      <c r="D88" s="100">
        <v>10</v>
      </c>
      <c r="E88" s="74">
        <v>39.409999999999997</v>
      </c>
      <c r="F88" s="74">
        <f>E88*'ON-P Fixed Inputs'!M88</f>
        <v>14.354817484925048</v>
      </c>
      <c r="G88" s="80">
        <f t="shared" si="1"/>
        <v>0.01</v>
      </c>
      <c r="I88" s="46">
        <v>54</v>
      </c>
      <c r="J88" s="72" t="str">
        <f t="shared" si="3"/>
        <v>2069/70</v>
      </c>
      <c r="K88" s="73">
        <f t="shared" si="2"/>
        <v>292.20326447235919</v>
      </c>
      <c r="L88" s="72">
        <v>2070</v>
      </c>
      <c r="M88" s="76">
        <f t="shared" si="4"/>
        <v>0.36424302169309947</v>
      </c>
      <c r="N88" s="94"/>
      <c r="O88" s="93"/>
      <c r="P88" s="93"/>
      <c r="Q88" s="93"/>
      <c r="R88" s="93"/>
      <c r="S88" s="97"/>
      <c r="T88" s="95"/>
      <c r="U88" s="93"/>
      <c r="V88" s="93"/>
      <c r="W88" s="93"/>
      <c r="X88" s="93"/>
      <c r="Y88" s="81"/>
      <c r="Z88" s="95"/>
      <c r="AA88" s="95"/>
      <c r="AB88" s="89"/>
      <c r="AC88" s="89"/>
      <c r="AD88" s="89"/>
      <c r="AE88" s="89"/>
      <c r="AF88" s="89"/>
      <c r="AG88" s="81"/>
      <c r="AH88" s="49"/>
      <c r="AI88" s="49"/>
      <c r="AJ88" s="49"/>
      <c r="AK88" s="49"/>
      <c r="AL88" s="49"/>
      <c r="AM88" s="49"/>
      <c r="AN88" s="49"/>
      <c r="AO88" s="49"/>
      <c r="AP88" s="49"/>
      <c r="AQ88" s="49"/>
      <c r="AR88" s="49"/>
      <c r="AS88" s="49"/>
      <c r="AT88" s="49"/>
      <c r="AU88" s="49"/>
      <c r="AV88" s="49"/>
      <c r="AW88" s="49"/>
      <c r="AX88" s="49"/>
      <c r="AY88" s="49"/>
      <c r="AZ88" s="49"/>
      <c r="BA88" s="49"/>
      <c r="BB88" s="49"/>
      <c r="BC88" s="49"/>
      <c r="BD88" s="79"/>
      <c r="BE88" s="79"/>
    </row>
    <row r="89" spans="1:57" ht="14.45">
      <c r="A89" s="46">
        <v>55</v>
      </c>
      <c r="B89" s="72">
        <v>2071</v>
      </c>
      <c r="C89" s="73"/>
      <c r="D89" s="100">
        <v>10</v>
      </c>
      <c r="E89" s="74">
        <v>39.409999999999997</v>
      </c>
      <c r="F89" s="74">
        <f>E89*'ON-P Fixed Inputs'!M89</f>
        <v>14.073350475416712</v>
      </c>
      <c r="G89" s="80">
        <f t="shared" si="1"/>
        <v>0.01</v>
      </c>
      <c r="I89" s="46">
        <v>55</v>
      </c>
      <c r="J89" s="72" t="str">
        <f t="shared" si="3"/>
        <v>2070/71</v>
      </c>
      <c r="K89" s="73">
        <f t="shared" si="2"/>
        <v>298.0473297618064</v>
      </c>
      <c r="L89" s="72">
        <v>2071</v>
      </c>
      <c r="M89" s="76">
        <f t="shared" si="4"/>
        <v>0.35710100165990138</v>
      </c>
      <c r="N89" s="94"/>
      <c r="O89" s="93"/>
      <c r="P89" s="93"/>
      <c r="Q89" s="93"/>
      <c r="R89" s="93"/>
      <c r="S89" s="97"/>
      <c r="T89" s="95"/>
      <c r="U89" s="93"/>
      <c r="V89" s="93"/>
      <c r="W89" s="93"/>
      <c r="X89" s="93"/>
      <c r="Y89" s="81"/>
      <c r="Z89" s="95"/>
      <c r="AA89" s="95"/>
      <c r="AB89" s="89"/>
      <c r="AC89" s="89"/>
      <c r="AD89" s="89"/>
      <c r="AE89" s="89"/>
      <c r="AF89" s="89"/>
      <c r="AG89" s="81"/>
      <c r="AH89" s="49"/>
      <c r="AI89" s="49"/>
      <c r="AJ89" s="49"/>
      <c r="AK89" s="49"/>
      <c r="AL89" s="49"/>
      <c r="AM89" s="49"/>
      <c r="AN89" s="49"/>
      <c r="AO89" s="49"/>
      <c r="AP89" s="49"/>
      <c r="AQ89" s="49"/>
      <c r="AR89" s="49"/>
      <c r="AS89" s="49"/>
      <c r="AT89" s="49"/>
      <c r="AU89" s="49"/>
      <c r="AV89" s="49"/>
      <c r="AW89" s="49"/>
      <c r="AX89" s="49"/>
      <c r="AY89" s="49"/>
      <c r="AZ89" s="49"/>
      <c r="BA89" s="49"/>
      <c r="BB89" s="49"/>
      <c r="BC89" s="49"/>
      <c r="BD89" s="79"/>
      <c r="BE89" s="79"/>
    </row>
    <row r="90" spans="1:57" ht="14.45">
      <c r="A90" s="46">
        <v>56</v>
      </c>
      <c r="B90" s="72">
        <v>2072</v>
      </c>
      <c r="C90" s="73"/>
      <c r="D90" s="100">
        <v>10</v>
      </c>
      <c r="E90" s="74">
        <v>39.409999999999997</v>
      </c>
      <c r="F90" s="74">
        <f>E90*'ON-P Fixed Inputs'!M90</f>
        <v>13.797402426879131</v>
      </c>
      <c r="G90" s="80">
        <f t="shared" si="1"/>
        <v>0.01</v>
      </c>
      <c r="I90" s="46">
        <v>56</v>
      </c>
      <c r="J90" s="72" t="str">
        <f t="shared" si="3"/>
        <v>2071/72</v>
      </c>
      <c r="K90" s="73">
        <f t="shared" si="2"/>
        <v>304.00827635704252</v>
      </c>
      <c r="L90" s="72">
        <v>2072</v>
      </c>
      <c r="M90" s="76">
        <f t="shared" si="4"/>
        <v>0.35009902123519748</v>
      </c>
      <c r="N90" s="94"/>
      <c r="O90" s="93"/>
      <c r="P90" s="93"/>
      <c r="Q90" s="93"/>
      <c r="R90" s="93"/>
      <c r="S90" s="97"/>
      <c r="T90" s="95"/>
      <c r="U90" s="93"/>
      <c r="V90" s="93"/>
      <c r="W90" s="93"/>
      <c r="X90" s="93"/>
      <c r="Y90" s="81"/>
      <c r="Z90" s="95"/>
      <c r="AA90" s="95"/>
      <c r="AB90" s="89"/>
      <c r="AC90" s="89"/>
      <c r="AD90" s="89"/>
      <c r="AE90" s="89"/>
      <c r="AF90" s="89"/>
      <c r="AG90" s="81"/>
      <c r="AH90" s="49"/>
      <c r="AI90" s="49"/>
      <c r="AJ90" s="49"/>
      <c r="AK90" s="49"/>
      <c r="AL90" s="49"/>
      <c r="AM90" s="49"/>
      <c r="AN90" s="49"/>
      <c r="AO90" s="49"/>
      <c r="AP90" s="49"/>
      <c r="AQ90" s="49"/>
      <c r="AR90" s="49"/>
      <c r="AS90" s="49"/>
      <c r="AT90" s="49"/>
      <c r="AU90" s="49"/>
      <c r="AV90" s="49"/>
      <c r="AW90" s="49"/>
      <c r="AX90" s="49"/>
      <c r="AY90" s="49"/>
      <c r="AZ90" s="49"/>
      <c r="BA90" s="49"/>
      <c r="BB90" s="49"/>
      <c r="BC90" s="49"/>
      <c r="BD90" s="79"/>
      <c r="BE90" s="79"/>
    </row>
    <row r="91" spans="1:57" ht="14.45">
      <c r="A91" s="46">
        <v>57</v>
      </c>
      <c r="B91" s="72">
        <v>2073</v>
      </c>
      <c r="C91" s="73"/>
      <c r="D91" s="100">
        <v>10</v>
      </c>
      <c r="E91" s="74">
        <v>39.409999999999997</v>
      </c>
      <c r="F91" s="74">
        <f>E91*'ON-P Fixed Inputs'!M91</f>
        <v>13.526865124391302</v>
      </c>
      <c r="G91" s="80">
        <f t="shared" si="1"/>
        <v>0.01</v>
      </c>
      <c r="I91" s="46">
        <v>57</v>
      </c>
      <c r="J91" s="72" t="str">
        <f t="shared" si="3"/>
        <v>2072/73</v>
      </c>
      <c r="K91" s="73">
        <f t="shared" si="2"/>
        <v>310.0884418841834</v>
      </c>
      <c r="L91" s="72">
        <v>2073</v>
      </c>
      <c r="M91" s="76">
        <f t="shared" si="4"/>
        <v>0.34323433454431118</v>
      </c>
      <c r="N91" s="94"/>
      <c r="O91" s="93"/>
      <c r="P91" s="93"/>
      <c r="Q91" s="93"/>
      <c r="R91" s="93"/>
      <c r="S91" s="97"/>
      <c r="T91" s="95"/>
      <c r="U91" s="93"/>
      <c r="V91" s="93"/>
      <c r="W91" s="93"/>
      <c r="X91" s="93"/>
      <c r="Y91" s="81"/>
      <c r="Z91" s="95"/>
      <c r="AA91" s="95"/>
      <c r="AB91" s="89"/>
      <c r="AC91" s="89"/>
      <c r="AD91" s="89"/>
      <c r="AE91" s="89"/>
      <c r="AF91" s="89"/>
      <c r="AG91" s="81"/>
      <c r="AH91" s="49"/>
      <c r="AI91" s="49"/>
      <c r="AJ91" s="49"/>
      <c r="AK91" s="49"/>
      <c r="AL91" s="49"/>
      <c r="AM91" s="49"/>
      <c r="AN91" s="49"/>
      <c r="AO91" s="49"/>
      <c r="AP91" s="49"/>
      <c r="AQ91" s="49"/>
      <c r="AR91" s="49"/>
      <c r="AS91" s="49"/>
      <c r="AT91" s="49"/>
      <c r="AU91" s="49"/>
      <c r="AV91" s="49"/>
      <c r="AW91" s="49"/>
      <c r="AX91" s="49"/>
      <c r="AY91" s="49"/>
      <c r="AZ91" s="49"/>
      <c r="BA91" s="49"/>
      <c r="BB91" s="49"/>
      <c r="BC91" s="49"/>
      <c r="BD91" s="79"/>
      <c r="BE91" s="79"/>
    </row>
    <row r="92" spans="1:57" ht="14.45">
      <c r="A92" s="46">
        <v>58</v>
      </c>
      <c r="B92" s="72">
        <v>2074</v>
      </c>
      <c r="C92" s="73"/>
      <c r="D92" s="100">
        <v>10</v>
      </c>
      <c r="E92" s="74">
        <v>39.409999999999997</v>
      </c>
      <c r="F92" s="74">
        <f>E92*'ON-P Fixed Inputs'!M92</f>
        <v>13.261632474893434</v>
      </c>
      <c r="G92" s="80">
        <f t="shared" si="1"/>
        <v>0.01</v>
      </c>
      <c r="I92" s="46">
        <v>58</v>
      </c>
      <c r="J92" s="72" t="str">
        <f t="shared" si="3"/>
        <v>2073/74</v>
      </c>
      <c r="K92" s="73">
        <f t="shared" si="2"/>
        <v>316.29021072186708</v>
      </c>
      <c r="L92" s="72">
        <v>2074</v>
      </c>
      <c r="M92" s="76">
        <f t="shared" si="4"/>
        <v>0.33650424955324626</v>
      </c>
      <c r="N92" s="94"/>
      <c r="O92" s="93"/>
      <c r="P92" s="93"/>
      <c r="Q92" s="93"/>
      <c r="R92" s="93"/>
      <c r="S92" s="97"/>
      <c r="T92" s="95"/>
      <c r="U92" s="93"/>
      <c r="V92" s="93"/>
      <c r="W92" s="93"/>
      <c r="X92" s="93"/>
      <c r="Y92" s="81"/>
      <c r="Z92" s="95"/>
      <c r="AA92" s="95"/>
      <c r="AB92" s="89"/>
      <c r="AC92" s="89"/>
      <c r="AD92" s="89"/>
      <c r="AE92" s="89"/>
      <c r="AF92" s="89"/>
      <c r="AG92" s="81"/>
      <c r="AH92" s="49"/>
      <c r="AI92" s="49"/>
      <c r="AJ92" s="49"/>
      <c r="AK92" s="49"/>
      <c r="AL92" s="49"/>
      <c r="AM92" s="49"/>
      <c r="AN92" s="49"/>
      <c r="AO92" s="49"/>
      <c r="AP92" s="49"/>
      <c r="AQ92" s="49"/>
      <c r="AR92" s="49"/>
      <c r="AS92" s="49"/>
      <c r="AT92" s="49"/>
      <c r="AU92" s="49"/>
      <c r="AV92" s="49"/>
      <c r="AW92" s="49"/>
      <c r="AX92" s="49"/>
      <c r="AY92" s="49"/>
      <c r="AZ92" s="49"/>
      <c r="BA92" s="49"/>
      <c r="BB92" s="49"/>
      <c r="BC92" s="49"/>
      <c r="BD92" s="79"/>
      <c r="BE92" s="79"/>
    </row>
    <row r="93" spans="1:57" ht="14.45">
      <c r="A93" s="46">
        <v>59</v>
      </c>
      <c r="B93" s="72">
        <v>2075</v>
      </c>
      <c r="C93" s="73"/>
      <c r="D93" s="100">
        <v>10</v>
      </c>
      <c r="E93" s="74">
        <v>39.409999999999997</v>
      </c>
      <c r="F93" s="74">
        <f>E93*'ON-P Fixed Inputs'!M93</f>
        <v>13.001600465581797</v>
      </c>
      <c r="G93" s="80">
        <f t="shared" ref="G93:G104" si="5">D93/1000</f>
        <v>0.01</v>
      </c>
      <c r="I93" s="46">
        <v>59</v>
      </c>
      <c r="J93" s="72" t="str">
        <f t="shared" si="3"/>
        <v>2074/75</v>
      </c>
      <c r="K93" s="73">
        <f t="shared" si="2"/>
        <v>322.61601493630445</v>
      </c>
      <c r="L93" s="72">
        <v>2075</v>
      </c>
      <c r="M93" s="76">
        <f t="shared" si="4"/>
        <v>0.32990612701298649</v>
      </c>
      <c r="N93" s="94"/>
      <c r="O93" s="93"/>
      <c r="P93" s="93"/>
      <c r="Q93" s="93"/>
      <c r="R93" s="93"/>
      <c r="S93" s="97"/>
      <c r="T93" s="95"/>
      <c r="U93" s="93"/>
      <c r="V93" s="93"/>
      <c r="W93" s="93"/>
      <c r="X93" s="93"/>
      <c r="Y93" s="81"/>
      <c r="Z93" s="95"/>
      <c r="AA93" s="95"/>
      <c r="AB93" s="89"/>
      <c r="AC93" s="89"/>
      <c r="AD93" s="89"/>
      <c r="AE93" s="89"/>
      <c r="AF93" s="89"/>
      <c r="AG93" s="81"/>
      <c r="AH93" s="49"/>
      <c r="AI93" s="49"/>
      <c r="AJ93" s="49"/>
      <c r="AK93" s="49"/>
      <c r="AL93" s="49"/>
      <c r="AM93" s="49"/>
      <c r="AN93" s="49"/>
      <c r="AO93" s="49"/>
      <c r="AP93" s="49"/>
      <c r="AQ93" s="49"/>
      <c r="AR93" s="49"/>
      <c r="AS93" s="49"/>
      <c r="AT93" s="49"/>
      <c r="AU93" s="49"/>
      <c r="AV93" s="49"/>
      <c r="AW93" s="49"/>
      <c r="AX93" s="49"/>
      <c r="AY93" s="49"/>
      <c r="AZ93" s="49"/>
      <c r="BA93" s="49"/>
      <c r="BB93" s="49"/>
      <c r="BC93" s="49"/>
      <c r="BD93" s="79"/>
      <c r="BE93" s="79"/>
    </row>
    <row r="94" spans="1:57" ht="14.45">
      <c r="A94" s="46">
        <v>60</v>
      </c>
      <c r="B94" s="72">
        <v>2076</v>
      </c>
      <c r="C94" s="73"/>
      <c r="D94" s="100">
        <v>10</v>
      </c>
      <c r="E94" s="74">
        <v>39.409999999999997</v>
      </c>
      <c r="F94" s="74">
        <f>E94*'ON-P Fixed Inputs'!M94</f>
        <v>12.746667123119408</v>
      </c>
      <c r="G94" s="80">
        <f t="shared" si="5"/>
        <v>0.01</v>
      </c>
      <c r="I94" s="46">
        <v>60</v>
      </c>
      <c r="J94" s="72" t="str">
        <f t="shared" si="3"/>
        <v>2075/76</v>
      </c>
      <c r="K94" s="73">
        <f t="shared" si="2"/>
        <v>329.06833523503053</v>
      </c>
      <c r="L94" s="72">
        <v>2076</v>
      </c>
      <c r="M94" s="76">
        <f t="shared" si="4"/>
        <v>0.32343737942449657</v>
      </c>
      <c r="N94" s="94"/>
      <c r="O94" s="93"/>
      <c r="P94" s="93"/>
      <c r="Q94" s="93"/>
      <c r="R94" s="93"/>
      <c r="S94" s="97"/>
      <c r="T94" s="95"/>
      <c r="U94" s="93"/>
      <c r="V94" s="93"/>
      <c r="W94" s="93"/>
      <c r="X94" s="93"/>
      <c r="Y94" s="81"/>
      <c r="Z94" s="95"/>
      <c r="AA94" s="95"/>
      <c r="AB94" s="89"/>
      <c r="AC94" s="89"/>
      <c r="AD94" s="89"/>
      <c r="AE94" s="89"/>
      <c r="AF94" s="89"/>
      <c r="AG94" s="81"/>
      <c r="AH94" s="49"/>
      <c r="AI94" s="49"/>
      <c r="AJ94" s="49"/>
      <c r="AK94" s="49"/>
      <c r="AL94" s="49"/>
      <c r="AM94" s="49"/>
      <c r="AN94" s="49"/>
      <c r="AO94" s="49"/>
      <c r="AP94" s="49"/>
      <c r="AQ94" s="49"/>
      <c r="AR94" s="49"/>
      <c r="AS94" s="49"/>
      <c r="AT94" s="49"/>
      <c r="AU94" s="49"/>
      <c r="AV94" s="49"/>
      <c r="AW94" s="49"/>
      <c r="AX94" s="49"/>
      <c r="AY94" s="49"/>
      <c r="AZ94" s="49"/>
      <c r="BA94" s="49"/>
      <c r="BB94" s="49"/>
      <c r="BC94" s="49"/>
      <c r="BD94" s="79"/>
      <c r="BE94" s="79"/>
    </row>
    <row r="95" spans="1:57" ht="14.45">
      <c r="A95" s="46">
        <v>61</v>
      </c>
      <c r="B95" s="72">
        <v>2077</v>
      </c>
      <c r="C95" s="73"/>
      <c r="D95" s="100">
        <v>10</v>
      </c>
      <c r="E95" s="74">
        <v>39.409999999999997</v>
      </c>
      <c r="F95" s="74">
        <f>E95*'ON-P Fixed Inputs'!M95</f>
        <v>12.49673247364648</v>
      </c>
      <c r="G95" s="80">
        <f t="shared" si="5"/>
        <v>0.01</v>
      </c>
      <c r="I95" s="46">
        <v>61</v>
      </c>
      <c r="J95" s="72" t="str">
        <f t="shared" si="3"/>
        <v>2076/77</v>
      </c>
      <c r="K95" s="73">
        <f t="shared" si="2"/>
        <v>335.64970193973113</v>
      </c>
      <c r="L95" s="72">
        <v>2077</v>
      </c>
      <c r="M95" s="76">
        <f t="shared" si="4"/>
        <v>0.31709547002401628</v>
      </c>
      <c r="N95" s="94"/>
      <c r="O95" s="93"/>
      <c r="P95" s="93"/>
      <c r="Q95" s="93"/>
      <c r="R95" s="93"/>
      <c r="S95" s="97"/>
      <c r="T95" s="95"/>
      <c r="U95" s="93"/>
      <c r="V95" s="93"/>
      <c r="W95" s="93"/>
      <c r="X95" s="93"/>
      <c r="Y95" s="81"/>
      <c r="Z95" s="95"/>
      <c r="AA95" s="95"/>
      <c r="AB95" s="89"/>
      <c r="AC95" s="89"/>
      <c r="AD95" s="89"/>
      <c r="AE95" s="89"/>
      <c r="AF95" s="89"/>
      <c r="AG95" s="81"/>
      <c r="AH95" s="49"/>
      <c r="AI95" s="49"/>
      <c r="AJ95" s="49"/>
      <c r="AK95" s="49"/>
      <c r="AL95" s="49"/>
      <c r="AM95" s="49"/>
      <c r="AN95" s="49"/>
      <c r="AO95" s="49"/>
      <c r="AP95" s="49"/>
      <c r="AQ95" s="49"/>
      <c r="AR95" s="49"/>
      <c r="AS95" s="49"/>
      <c r="AT95" s="49"/>
      <c r="AU95" s="49"/>
      <c r="AV95" s="49"/>
      <c r="AW95" s="49"/>
      <c r="AX95" s="49"/>
      <c r="AY95" s="49"/>
      <c r="AZ95" s="49"/>
      <c r="BA95" s="49"/>
      <c r="BB95" s="49"/>
      <c r="BC95" s="49"/>
      <c r="BD95" s="79"/>
      <c r="BE95" s="79"/>
    </row>
    <row r="96" spans="1:57" ht="14.45">
      <c r="A96" s="46">
        <v>62</v>
      </c>
      <c r="B96" s="72">
        <v>2078</v>
      </c>
      <c r="C96" s="73"/>
      <c r="D96" s="100">
        <v>10</v>
      </c>
      <c r="E96" s="74">
        <v>39.409999999999997</v>
      </c>
      <c r="F96" s="74">
        <f>E96*'ON-P Fixed Inputs'!M96</f>
        <v>12.251698503574978</v>
      </c>
      <c r="G96" s="80">
        <f t="shared" si="5"/>
        <v>0.01</v>
      </c>
      <c r="I96" s="46">
        <v>62</v>
      </c>
      <c r="J96" s="72" t="str">
        <f t="shared" si="3"/>
        <v>2077/78</v>
      </c>
      <c r="K96" s="73">
        <f t="shared" si="2"/>
        <v>342.36269597852578</v>
      </c>
      <c r="L96" s="72">
        <v>2078</v>
      </c>
      <c r="M96" s="76">
        <f t="shared" si="4"/>
        <v>0.31087791178825119</v>
      </c>
      <c r="N96" s="94"/>
      <c r="O96" s="93"/>
      <c r="P96" s="93"/>
      <c r="Q96" s="93"/>
      <c r="R96" s="93"/>
      <c r="S96" s="97"/>
      <c r="T96" s="95"/>
      <c r="U96" s="93"/>
      <c r="V96" s="93"/>
      <c r="W96" s="93"/>
      <c r="X96" s="93"/>
      <c r="Y96" s="81"/>
      <c r="Z96" s="95"/>
      <c r="AA96" s="95"/>
      <c r="AB96" s="89"/>
      <c r="AC96" s="89"/>
      <c r="AD96" s="89"/>
      <c r="AE96" s="89"/>
      <c r="AF96" s="89"/>
      <c r="AG96" s="81"/>
      <c r="AH96" s="49"/>
      <c r="AI96" s="49"/>
      <c r="AJ96" s="49"/>
      <c r="AK96" s="49"/>
      <c r="AL96" s="49"/>
      <c r="AM96" s="49"/>
      <c r="AN96" s="49"/>
      <c r="AO96" s="49"/>
      <c r="AP96" s="49"/>
      <c r="AQ96" s="49"/>
      <c r="AR96" s="49"/>
      <c r="AS96" s="49"/>
      <c r="AT96" s="49"/>
      <c r="AU96" s="49"/>
      <c r="AV96" s="49"/>
      <c r="AW96" s="49"/>
      <c r="AX96" s="49"/>
      <c r="AY96" s="49"/>
      <c r="AZ96" s="49"/>
      <c r="BA96" s="49"/>
      <c r="BB96" s="49"/>
      <c r="BC96" s="49"/>
      <c r="BD96" s="79"/>
      <c r="BE96" s="79"/>
    </row>
    <row r="97" spans="1:58" ht="14.45">
      <c r="A97" s="46">
        <v>63</v>
      </c>
      <c r="B97" s="72">
        <v>2079</v>
      </c>
      <c r="C97" s="73"/>
      <c r="D97" s="100">
        <v>10</v>
      </c>
      <c r="E97" s="74">
        <v>39.409999999999997</v>
      </c>
      <c r="F97" s="74">
        <f>E97*'ON-P Fixed Inputs'!M97</f>
        <v>12.01146912115194</v>
      </c>
      <c r="G97" s="80">
        <f t="shared" si="5"/>
        <v>0.01</v>
      </c>
      <c r="I97" s="46">
        <v>63</v>
      </c>
      <c r="J97" s="72" t="str">
        <f t="shared" si="3"/>
        <v>2078/79</v>
      </c>
      <c r="K97" s="73">
        <f t="shared" si="2"/>
        <v>349.20994989809628</v>
      </c>
      <c r="L97" s="72">
        <v>2079</v>
      </c>
      <c r="M97" s="76">
        <f t="shared" si="4"/>
        <v>0.30478226645906981</v>
      </c>
      <c r="N97" s="94"/>
      <c r="O97" s="93"/>
      <c r="P97" s="93"/>
      <c r="Q97" s="93"/>
      <c r="R97" s="93"/>
      <c r="S97" s="97"/>
      <c r="T97" s="95"/>
      <c r="U97" s="93"/>
      <c r="V97" s="93"/>
      <c r="W97" s="93"/>
      <c r="X97" s="93"/>
      <c r="Y97" s="81"/>
      <c r="Z97" s="95"/>
      <c r="AA97" s="95"/>
      <c r="AB97" s="89"/>
      <c r="AC97" s="89"/>
      <c r="AD97" s="89"/>
      <c r="AE97" s="89"/>
      <c r="AF97" s="89"/>
      <c r="AG97" s="81"/>
      <c r="AH97" s="49"/>
      <c r="AI97" s="49"/>
      <c r="AJ97" s="49"/>
      <c r="AK97" s="49"/>
      <c r="AL97" s="49"/>
      <c r="AM97" s="49"/>
      <c r="AN97" s="49"/>
      <c r="AO97" s="49"/>
      <c r="AP97" s="49"/>
      <c r="AQ97" s="49"/>
      <c r="AR97" s="49"/>
      <c r="AS97" s="49"/>
      <c r="AT97" s="49"/>
      <c r="AU97" s="49"/>
      <c r="AV97" s="49"/>
      <c r="AW97" s="49"/>
      <c r="AX97" s="49"/>
      <c r="AY97" s="49"/>
      <c r="AZ97" s="49"/>
      <c r="BA97" s="49"/>
      <c r="BB97" s="49"/>
      <c r="BC97" s="49"/>
      <c r="BD97" s="79"/>
      <c r="BE97" s="79"/>
    </row>
    <row r="98" spans="1:58" ht="14.45">
      <c r="A98" s="46">
        <v>64</v>
      </c>
      <c r="B98" s="72">
        <v>2080</v>
      </c>
      <c r="C98" s="73"/>
      <c r="D98" s="100">
        <v>10</v>
      </c>
      <c r="E98" s="74">
        <v>39.409999999999997</v>
      </c>
      <c r="F98" s="74">
        <f>E98*'ON-P Fixed Inputs'!M98</f>
        <v>11.775950118776413</v>
      </c>
      <c r="G98" s="80">
        <f t="shared" si="5"/>
        <v>0.01</v>
      </c>
      <c r="I98" s="46">
        <v>64</v>
      </c>
      <c r="J98" s="72" t="str">
        <f t="shared" si="3"/>
        <v>2079/80</v>
      </c>
      <c r="K98" s="73">
        <f t="shared" si="2"/>
        <v>356.19414889605821</v>
      </c>
      <c r="L98" s="72">
        <v>2080</v>
      </c>
      <c r="M98" s="76">
        <f t="shared" si="4"/>
        <v>0.29880614358732338</v>
      </c>
      <c r="N98" s="94"/>
      <c r="O98" s="93"/>
      <c r="P98" s="93"/>
      <c r="Q98" s="93"/>
      <c r="R98" s="93"/>
      <c r="S98" s="97"/>
      <c r="T98" s="95"/>
      <c r="U98" s="93"/>
      <c r="V98" s="93"/>
      <c r="W98" s="93"/>
      <c r="X98" s="93"/>
      <c r="Y98" s="81"/>
      <c r="Z98" s="95"/>
      <c r="AA98" s="95"/>
      <c r="AB98" s="89"/>
      <c r="AC98" s="89"/>
      <c r="AD98" s="89"/>
      <c r="AE98" s="89"/>
      <c r="AF98" s="89"/>
      <c r="AG98" s="81"/>
      <c r="AH98" s="49"/>
      <c r="AI98" s="49"/>
      <c r="AJ98" s="49"/>
      <c r="AK98" s="49"/>
      <c r="AL98" s="49"/>
      <c r="AM98" s="49"/>
      <c r="AN98" s="49"/>
      <c r="AO98" s="49"/>
      <c r="AP98" s="49"/>
      <c r="AQ98" s="49"/>
      <c r="AR98" s="49"/>
      <c r="AS98" s="49"/>
      <c r="AT98" s="49"/>
      <c r="AU98" s="49"/>
      <c r="AV98" s="49"/>
      <c r="AW98" s="49"/>
      <c r="AX98" s="49"/>
      <c r="AY98" s="49"/>
      <c r="AZ98" s="49"/>
      <c r="BA98" s="49"/>
      <c r="BB98" s="49"/>
      <c r="BC98" s="49"/>
      <c r="BD98" s="79"/>
      <c r="BE98" s="79"/>
    </row>
    <row r="99" spans="1:58" ht="14.45">
      <c r="A99" s="46">
        <v>65</v>
      </c>
      <c r="B99" s="72">
        <v>2081</v>
      </c>
      <c r="C99" s="73"/>
      <c r="D99" s="100">
        <v>10</v>
      </c>
      <c r="E99" s="74">
        <v>39.409999999999997</v>
      </c>
      <c r="F99" s="74">
        <f>E99*'ON-P Fixed Inputs'!M99</f>
        <v>11.545049136055306</v>
      </c>
      <c r="G99" s="80">
        <f t="shared" si="5"/>
        <v>0.01</v>
      </c>
      <c r="H99" s="81"/>
      <c r="I99" s="46">
        <v>65</v>
      </c>
      <c r="J99" s="72" t="str">
        <f t="shared" si="3"/>
        <v>2080/81</v>
      </c>
      <c r="K99" s="73">
        <f t="shared" si="2"/>
        <v>363.31803187397941</v>
      </c>
      <c r="L99" s="72">
        <v>2081</v>
      </c>
      <c r="M99" s="76">
        <f t="shared" si="4"/>
        <v>0.29294719959541504</v>
      </c>
      <c r="N99" s="81"/>
      <c r="O99" s="94"/>
      <c r="P99" s="93"/>
      <c r="Q99" s="93"/>
      <c r="R99" s="93"/>
      <c r="S99" s="93"/>
      <c r="T99" s="97"/>
      <c r="U99" s="95"/>
      <c r="V99" s="93"/>
      <c r="W99" s="93"/>
      <c r="X99" s="93"/>
      <c r="Y99" s="93"/>
      <c r="Z99" s="81"/>
      <c r="AA99" s="95"/>
      <c r="AB99" s="95"/>
      <c r="AC99" s="89"/>
      <c r="AD99" s="89"/>
      <c r="AE99" s="89"/>
      <c r="AF99" s="89"/>
      <c r="AG99" s="89"/>
      <c r="AH99" s="81"/>
      <c r="AI99" s="49"/>
      <c r="AJ99" s="49"/>
      <c r="AK99" s="49"/>
      <c r="AL99" s="49"/>
      <c r="AM99" s="49"/>
      <c r="AN99" s="49"/>
      <c r="AO99" s="49"/>
      <c r="AP99" s="49"/>
      <c r="AQ99" s="49"/>
      <c r="AR99" s="49"/>
      <c r="AS99" s="49"/>
      <c r="AT99" s="49"/>
      <c r="AU99" s="49"/>
      <c r="AV99" s="49"/>
      <c r="AW99" s="49"/>
      <c r="AX99" s="49"/>
      <c r="AY99" s="49"/>
      <c r="AZ99" s="49"/>
      <c r="BA99" s="49"/>
      <c r="BB99" s="49"/>
      <c r="BC99" s="49"/>
      <c r="BD99" s="49"/>
      <c r="BE99" s="79"/>
      <c r="BF99" s="79"/>
    </row>
    <row r="100" spans="1:58" ht="14.45">
      <c r="A100" s="46">
        <v>66</v>
      </c>
      <c r="B100" s="72">
        <v>2082</v>
      </c>
      <c r="C100" s="73"/>
      <c r="D100" s="100">
        <v>10</v>
      </c>
      <c r="E100" s="74">
        <v>39.409999999999997</v>
      </c>
      <c r="F100" s="74">
        <f>E100*'ON-P Fixed Inputs'!M100</f>
        <v>11.318675623583633</v>
      </c>
      <c r="G100" s="80">
        <f t="shared" si="5"/>
        <v>0.01</v>
      </c>
      <c r="H100" s="81"/>
      <c r="I100" s="46">
        <v>66</v>
      </c>
      <c r="J100" s="72" t="str">
        <f t="shared" si="3"/>
        <v>2081/82</v>
      </c>
      <c r="K100" s="73">
        <f t="shared" si="2"/>
        <v>370.58439251145899</v>
      </c>
      <c r="L100" s="72">
        <v>2082</v>
      </c>
      <c r="M100" s="76">
        <f t="shared" si="4"/>
        <v>0.28720313685825005</v>
      </c>
      <c r="N100" s="81"/>
      <c r="O100" s="94"/>
      <c r="P100" s="93"/>
      <c r="Q100" s="93"/>
      <c r="R100" s="93"/>
      <c r="S100" s="93"/>
      <c r="T100" s="97"/>
      <c r="U100" s="95"/>
      <c r="V100" s="93"/>
      <c r="W100" s="93"/>
      <c r="X100" s="93"/>
      <c r="Y100" s="93"/>
      <c r="Z100" s="81"/>
      <c r="AA100" s="95"/>
      <c r="AB100" s="95"/>
      <c r="AC100" s="89"/>
      <c r="AD100" s="89"/>
      <c r="AE100" s="89"/>
      <c r="AF100" s="89"/>
      <c r="AG100" s="89"/>
      <c r="AH100" s="81"/>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79"/>
      <c r="BF100" s="79"/>
    </row>
    <row r="101" spans="1:58" ht="14.45">
      <c r="A101" s="46">
        <v>67</v>
      </c>
      <c r="B101" s="72">
        <v>2083</v>
      </c>
      <c r="C101" s="73"/>
      <c r="D101" s="100">
        <v>10</v>
      </c>
      <c r="E101" s="74">
        <v>39.409999999999997</v>
      </c>
      <c r="F101" s="74">
        <f>E101*'ON-P Fixed Inputs'!M101</f>
        <v>11.096740807434934</v>
      </c>
      <c r="G101" s="80">
        <f t="shared" si="5"/>
        <v>0.01</v>
      </c>
      <c r="H101" s="81"/>
      <c r="I101" s="46">
        <v>67</v>
      </c>
      <c r="J101" s="72" t="str">
        <f t="shared" si="3"/>
        <v>2082/83</v>
      </c>
      <c r="K101" s="73">
        <f t="shared" si="2"/>
        <v>377.9960803616882</v>
      </c>
      <c r="L101" s="72">
        <v>2083</v>
      </c>
      <c r="M101" s="76">
        <f t="shared" si="4"/>
        <v>0.28157170280220589</v>
      </c>
      <c r="N101" s="81"/>
      <c r="O101" s="94"/>
      <c r="P101" s="93"/>
      <c r="Q101" s="93"/>
      <c r="R101" s="93"/>
      <c r="S101" s="93"/>
      <c r="T101" s="97"/>
      <c r="U101" s="95"/>
      <c r="V101" s="93"/>
      <c r="W101" s="93"/>
      <c r="X101" s="93"/>
      <c r="Y101" s="93"/>
      <c r="Z101" s="81"/>
      <c r="AA101" s="95"/>
      <c r="AB101" s="95"/>
      <c r="AC101" s="89"/>
      <c r="AD101" s="89"/>
      <c r="AE101" s="89"/>
      <c r="AF101" s="89"/>
      <c r="AG101" s="89"/>
      <c r="AH101" s="81"/>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79"/>
      <c r="BF101" s="79"/>
    </row>
    <row r="102" spans="1:58" ht="14.45">
      <c r="A102" s="46">
        <v>68</v>
      </c>
      <c r="B102" s="72">
        <v>2084</v>
      </c>
      <c r="C102" s="73"/>
      <c r="D102" s="100">
        <v>10</v>
      </c>
      <c r="E102" s="74">
        <v>39.409999999999997</v>
      </c>
      <c r="F102" s="74">
        <f>E102*'ON-P Fixed Inputs'!M102</f>
        <v>10.879157654347974</v>
      </c>
      <c r="G102" s="80">
        <f t="shared" si="5"/>
        <v>0.01</v>
      </c>
      <c r="H102" s="81"/>
      <c r="I102" s="46">
        <v>68</v>
      </c>
      <c r="J102" s="72" t="str">
        <f t="shared" si="3"/>
        <v>2083/84</v>
      </c>
      <c r="K102" s="73">
        <f t="shared" ref="K102:K105" si="6">K101*(1.02)</f>
        <v>385.55600196892198</v>
      </c>
      <c r="L102" s="72">
        <v>2084</v>
      </c>
      <c r="M102" s="76">
        <f t="shared" si="4"/>
        <v>0.27605068902177049</v>
      </c>
      <c r="N102" s="81"/>
      <c r="O102" s="94"/>
      <c r="P102" s="93"/>
      <c r="Q102" s="93"/>
      <c r="R102" s="93"/>
      <c r="S102" s="93"/>
      <c r="T102" s="97"/>
      <c r="U102" s="95"/>
      <c r="V102" s="93"/>
      <c r="W102" s="93"/>
      <c r="X102" s="93"/>
      <c r="Y102" s="93"/>
      <c r="Z102" s="81"/>
      <c r="AA102" s="95"/>
      <c r="AB102" s="95"/>
      <c r="AC102" s="89"/>
      <c r="AD102" s="89"/>
      <c r="AE102" s="89"/>
      <c r="AF102" s="89"/>
      <c r="AG102" s="89"/>
      <c r="AH102" s="81"/>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79"/>
      <c r="BF102" s="79"/>
    </row>
    <row r="103" spans="1:58" ht="14.45">
      <c r="A103" s="46">
        <v>69</v>
      </c>
      <c r="B103" s="72">
        <v>2085</v>
      </c>
      <c r="C103" s="73"/>
      <c r="D103" s="100">
        <v>10</v>
      </c>
      <c r="E103" s="74">
        <v>39.409999999999997</v>
      </c>
      <c r="F103" s="74">
        <f>E103*'ON-P Fixed Inputs'!M103</f>
        <v>10.665840837596052</v>
      </c>
      <c r="G103" s="80">
        <f t="shared" si="5"/>
        <v>0.01</v>
      </c>
      <c r="H103" s="81"/>
      <c r="I103" s="46">
        <v>69</v>
      </c>
      <c r="J103" s="72" t="str">
        <f t="shared" si="3"/>
        <v>2084/85</v>
      </c>
      <c r="K103" s="73">
        <f t="shared" si="6"/>
        <v>393.26712200830042</v>
      </c>
      <c r="L103" s="72">
        <v>2085</v>
      </c>
      <c r="M103" s="76">
        <f t="shared" si="4"/>
        <v>0.27063793041350048</v>
      </c>
      <c r="N103" s="81"/>
      <c r="O103" s="94"/>
      <c r="P103" s="93"/>
      <c r="Q103" s="93"/>
      <c r="R103" s="93"/>
      <c r="S103" s="93"/>
      <c r="T103" s="97"/>
      <c r="U103" s="95"/>
      <c r="V103" s="93"/>
      <c r="W103" s="93"/>
      <c r="X103" s="93"/>
      <c r="Y103" s="93"/>
      <c r="Z103" s="81"/>
      <c r="AA103" s="95"/>
      <c r="AB103" s="95"/>
      <c r="AC103" s="89"/>
      <c r="AD103" s="89"/>
      <c r="AE103" s="89"/>
      <c r="AF103" s="89"/>
      <c r="AG103" s="89"/>
      <c r="AH103" s="81"/>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79"/>
      <c r="BF103" s="79"/>
    </row>
    <row r="104" spans="1:58" ht="14.45">
      <c r="A104" s="46">
        <v>70</v>
      </c>
      <c r="B104" s="72">
        <v>2086</v>
      </c>
      <c r="C104" s="73"/>
      <c r="D104" s="100">
        <v>10</v>
      </c>
      <c r="E104" s="74">
        <v>39.409999999999997</v>
      </c>
      <c r="F104" s="74">
        <f>E104*'ON-P Fixed Inputs'!M104</f>
        <v>10.456706703525542</v>
      </c>
      <c r="G104" s="80">
        <f t="shared" si="5"/>
        <v>0.01</v>
      </c>
      <c r="I104" s="46">
        <v>70</v>
      </c>
      <c r="J104" s="72" t="str">
        <f t="shared" si="3"/>
        <v>2085/86</v>
      </c>
      <c r="K104" s="73">
        <f t="shared" si="6"/>
        <v>401.13246444846641</v>
      </c>
      <c r="L104" s="72">
        <v>2086</v>
      </c>
      <c r="M104" s="76">
        <f t="shared" si="4"/>
        <v>0.26533130432696128</v>
      </c>
      <c r="N104" s="81"/>
      <c r="O104" s="94"/>
      <c r="P104" s="93"/>
      <c r="Q104" s="93"/>
      <c r="R104" s="93"/>
      <c r="S104" s="93"/>
      <c r="T104" s="97"/>
      <c r="U104" s="95"/>
      <c r="V104" s="93"/>
      <c r="W104" s="93"/>
      <c r="X104" s="93"/>
      <c r="Y104" s="93"/>
      <c r="Z104" s="81"/>
      <c r="AA104" s="95"/>
      <c r="AB104" s="95"/>
      <c r="AC104" s="89"/>
      <c r="AD104" s="89"/>
      <c r="AE104" s="89"/>
      <c r="AF104" s="89"/>
      <c r="AG104" s="89"/>
      <c r="AH104" s="81"/>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79"/>
      <c r="BF104" s="79"/>
    </row>
    <row r="105" spans="1:58" ht="14.45">
      <c r="A105" s="49"/>
      <c r="B105" s="46"/>
      <c r="C105" s="49"/>
      <c r="H105" s="81"/>
      <c r="I105" s="46">
        <v>71</v>
      </c>
      <c r="J105" s="72" t="str">
        <f t="shared" si="3"/>
        <v>2086/87</v>
      </c>
      <c r="K105" s="73">
        <f t="shared" si="6"/>
        <v>409.15511373743573</v>
      </c>
      <c r="L105" s="72">
        <v>2087</v>
      </c>
      <c r="M105" s="76">
        <f t="shared" si="4"/>
        <v>0.26012872973231499</v>
      </c>
      <c r="N105" s="81"/>
      <c r="O105" s="94"/>
      <c r="P105" s="93"/>
      <c r="Q105" s="93"/>
      <c r="R105" s="93"/>
      <c r="S105" s="93"/>
      <c r="T105" s="97"/>
      <c r="U105" s="95"/>
      <c r="V105" s="93"/>
      <c r="W105" s="93"/>
      <c r="X105" s="93"/>
      <c r="Y105" s="93"/>
      <c r="Z105" s="81"/>
      <c r="AA105" s="95"/>
      <c r="AB105" s="95"/>
      <c r="AC105" s="89"/>
      <c r="AD105" s="89"/>
      <c r="AE105" s="89"/>
      <c r="AF105" s="89"/>
      <c r="AG105" s="89"/>
      <c r="AH105" s="81"/>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79"/>
      <c r="BF105" s="79"/>
    </row>
    <row r="106" spans="1:58" ht="14.45">
      <c r="A106" s="49"/>
      <c r="B106" s="46"/>
      <c r="C106" s="49"/>
      <c r="H106" s="81"/>
      <c r="I106" s="101"/>
      <c r="J106" s="91"/>
      <c r="K106" s="81"/>
      <c r="L106" s="92"/>
      <c r="M106" s="93"/>
      <c r="N106" s="81"/>
      <c r="O106" s="94"/>
      <c r="P106" s="93"/>
      <c r="Q106" s="93"/>
      <c r="R106" s="93"/>
      <c r="S106" s="93"/>
      <c r="T106" s="97"/>
      <c r="U106" s="95"/>
      <c r="V106" s="93"/>
      <c r="W106" s="93"/>
      <c r="X106" s="93"/>
      <c r="Y106" s="93"/>
      <c r="Z106" s="81"/>
      <c r="AA106" s="95"/>
      <c r="AB106" s="95"/>
      <c r="AC106" s="89"/>
      <c r="AD106" s="89"/>
      <c r="AE106" s="89"/>
      <c r="AF106" s="89"/>
      <c r="AG106" s="89"/>
      <c r="AH106" s="81"/>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79"/>
      <c r="BF106" s="79"/>
    </row>
    <row r="107" spans="1:58" ht="14.45">
      <c r="B107" s="46"/>
      <c r="C107" s="49"/>
      <c r="E107" s="73">
        <f>(D35-D68)/33</f>
        <v>11.346363636363636</v>
      </c>
      <c r="F107" s="49" t="s">
        <v>94</v>
      </c>
      <c r="H107" s="81"/>
      <c r="I107" s="101"/>
      <c r="J107" s="91"/>
      <c r="K107" s="81"/>
      <c r="L107" s="92"/>
      <c r="M107" s="93"/>
      <c r="N107" s="81"/>
      <c r="O107" s="94"/>
      <c r="P107" s="93"/>
      <c r="Q107" s="93"/>
      <c r="R107" s="93"/>
      <c r="S107" s="93"/>
      <c r="T107" s="97"/>
      <c r="U107" s="95"/>
      <c r="V107" s="93"/>
      <c r="W107" s="93"/>
      <c r="X107" s="93"/>
      <c r="Y107" s="93"/>
      <c r="Z107" s="81"/>
      <c r="AA107" s="95"/>
      <c r="AB107" s="95"/>
      <c r="AC107" s="89"/>
      <c r="AD107" s="89"/>
      <c r="AE107" s="89"/>
      <c r="AF107" s="89"/>
      <c r="AG107" s="89"/>
      <c r="AH107" s="81"/>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79"/>
      <c r="BF107" s="79"/>
    </row>
    <row r="108" spans="1:58" ht="14.45">
      <c r="A108" s="49" t="s">
        <v>95</v>
      </c>
      <c r="B108" s="46"/>
      <c r="C108" s="49"/>
      <c r="E108" s="102" t="s">
        <v>96</v>
      </c>
    </row>
    <row r="109" spans="1:58" ht="14.45">
      <c r="A109" s="61" t="s">
        <v>97</v>
      </c>
      <c r="B109" s="46"/>
      <c r="C109" s="49"/>
      <c r="E109" s="103" t="s">
        <v>98</v>
      </c>
      <c r="F109" s="77"/>
    </row>
    <row r="110" spans="1:58" ht="14.45">
      <c r="A110" s="61" t="s">
        <v>99</v>
      </c>
      <c r="B110" s="46"/>
      <c r="C110" s="49"/>
    </row>
    <row r="111" spans="1:58">
      <c r="A111" s="44"/>
    </row>
    <row r="112" spans="1:58">
      <c r="A112" s="44"/>
    </row>
    <row r="113" spans="1:1">
      <c r="A113" s="44"/>
    </row>
    <row r="114" spans="1:1">
      <c r="A114" s="44"/>
    </row>
    <row r="115" spans="1:1">
      <c r="A115" s="44"/>
    </row>
    <row r="116" spans="1:1">
      <c r="A116" s="44"/>
    </row>
    <row r="117" spans="1:1">
      <c r="A117" s="44"/>
    </row>
    <row r="118" spans="1:1">
      <c r="A118" s="44"/>
    </row>
    <row r="119" spans="1:1">
      <c r="A119" s="44"/>
    </row>
    <row r="120" spans="1:1">
      <c r="A120" s="44"/>
    </row>
    <row r="121" spans="1:1">
      <c r="A121" s="44"/>
    </row>
    <row r="122" spans="1:1">
      <c r="A122" s="44"/>
    </row>
    <row r="123" spans="1:1">
      <c r="A123" s="44"/>
    </row>
    <row r="124" spans="1:1">
      <c r="A124" s="44"/>
    </row>
    <row r="125" spans="1:1">
      <c r="A125" s="44"/>
    </row>
    <row r="126" spans="1:1">
      <c r="A126" s="44"/>
    </row>
    <row r="127" spans="1:1">
      <c r="A127" s="44"/>
    </row>
    <row r="128" spans="1:1">
      <c r="A128" s="44"/>
    </row>
    <row r="129" spans="1:7">
      <c r="A129" s="44"/>
    </row>
    <row r="130" spans="1:7" ht="14.45">
      <c r="A130" s="44"/>
      <c r="D130" s="81"/>
    </row>
    <row r="131" spans="1:7" ht="14.45">
      <c r="A131" s="44"/>
      <c r="D131" s="81"/>
    </row>
    <row r="132" spans="1:7" ht="14.45">
      <c r="A132" s="44"/>
      <c r="D132" s="81"/>
    </row>
    <row r="133" spans="1:7" ht="14.45">
      <c r="A133" s="44"/>
      <c r="D133" s="81"/>
    </row>
    <row r="134" spans="1:7" ht="14.45">
      <c r="A134" s="44"/>
      <c r="D134" s="81"/>
    </row>
    <row r="135" spans="1:7" ht="14.45">
      <c r="A135" s="44"/>
      <c r="D135" s="81"/>
    </row>
    <row r="136" spans="1:7">
      <c r="A136" s="44"/>
      <c r="D136" s="44"/>
      <c r="F136" s="44"/>
      <c r="G136" s="44"/>
    </row>
    <row r="137" spans="1:7">
      <c r="A137" s="44"/>
      <c r="F137" s="42"/>
      <c r="G137" s="42"/>
    </row>
    <row r="138" spans="1:7">
      <c r="A138" s="44"/>
      <c r="F138" s="42"/>
    </row>
    <row r="139" spans="1:7">
      <c r="A139" s="44"/>
      <c r="D139" s="104"/>
      <c r="F139" s="42"/>
    </row>
    <row r="140" spans="1:7">
      <c r="A140" s="44"/>
      <c r="D140" s="104"/>
      <c r="F140" s="42"/>
      <c r="G140" s="42"/>
    </row>
    <row r="141" spans="1:7">
      <c r="A141" s="44"/>
      <c r="D141" s="104"/>
      <c r="F141" s="42"/>
      <c r="G141" s="42"/>
    </row>
    <row r="142" spans="1:7">
      <c r="A142" s="44"/>
      <c r="D142" s="104"/>
      <c r="F142" s="42"/>
      <c r="G142" s="42"/>
    </row>
    <row r="143" spans="1:7">
      <c r="A143" s="44"/>
      <c r="D143" s="104"/>
      <c r="F143" s="105"/>
      <c r="G143" s="42"/>
    </row>
    <row r="144" spans="1:7">
      <c r="A144" s="44"/>
      <c r="D144" s="104"/>
      <c r="F144" s="42"/>
      <c r="G144" s="42"/>
    </row>
    <row r="145" spans="1:7">
      <c r="A145" s="44"/>
      <c r="D145" s="104"/>
      <c r="F145" s="42"/>
      <c r="G145" s="42"/>
    </row>
    <row r="146" spans="1:7">
      <c r="A146" s="44"/>
      <c r="D146" s="104"/>
      <c r="F146" s="42"/>
      <c r="G146" s="42"/>
    </row>
    <row r="147" spans="1:7">
      <c r="A147" s="44"/>
      <c r="D147" s="104"/>
      <c r="F147" s="42"/>
      <c r="G147" s="42"/>
    </row>
    <row r="148" spans="1:7">
      <c r="A148" s="44"/>
      <c r="D148" s="104"/>
      <c r="F148" s="42"/>
      <c r="G148" s="42"/>
    </row>
    <row r="149" spans="1:7">
      <c r="A149" s="44"/>
      <c r="F149" s="42"/>
      <c r="G149" s="42"/>
    </row>
    <row r="150" spans="1:7">
      <c r="A150" s="44"/>
      <c r="F150" s="42"/>
      <c r="G150" s="42"/>
    </row>
    <row r="151" spans="1:7">
      <c r="A151" s="44"/>
      <c r="F151" s="42"/>
      <c r="G151" s="42"/>
    </row>
    <row r="152" spans="1:7">
      <c r="F152" s="42"/>
      <c r="G152" s="42"/>
    </row>
    <row r="153" spans="1:7">
      <c r="F153" s="42"/>
      <c r="G153" s="42"/>
    </row>
    <row r="154" spans="1:7">
      <c r="F154" s="42"/>
      <c r="G154" s="42"/>
    </row>
    <row r="155" spans="1:7">
      <c r="F155" s="42"/>
      <c r="G155" s="42"/>
    </row>
    <row r="156" spans="1:7">
      <c r="F156" s="42"/>
      <c r="G156" s="42"/>
    </row>
    <row r="157" spans="1:7">
      <c r="F157" s="42"/>
      <c r="G157" s="42"/>
    </row>
    <row r="158" spans="1:7">
      <c r="F158" s="42"/>
      <c r="G158" s="42"/>
    </row>
    <row r="159" spans="1:7">
      <c r="F159" s="42"/>
      <c r="G159" s="42"/>
    </row>
    <row r="160" spans="1:7">
      <c r="F160" s="42"/>
      <c r="G160" s="42"/>
    </row>
    <row r="161" spans="6:7">
      <c r="F161" s="42"/>
      <c r="G161" s="42"/>
    </row>
    <row r="162" spans="6:7">
      <c r="F162" s="42"/>
      <c r="G162" s="42"/>
    </row>
    <row r="163" spans="6:7">
      <c r="F163" s="42"/>
      <c r="G163" s="42"/>
    </row>
    <row r="164" spans="6:7">
      <c r="F164" s="42"/>
      <c r="G164" s="42"/>
    </row>
    <row r="165" spans="6:7">
      <c r="F165" s="42"/>
      <c r="G165" s="42"/>
    </row>
    <row r="166" spans="6:7">
      <c r="F166" s="42"/>
      <c r="G166" s="42"/>
    </row>
    <row r="167" spans="6:7">
      <c r="F167" s="42"/>
      <c r="G167" s="42"/>
    </row>
    <row r="168" spans="6:7">
      <c r="F168" s="42"/>
      <c r="G168" s="42"/>
    </row>
    <row r="169" spans="6:7">
      <c r="F169" s="42"/>
      <c r="G169" s="42"/>
    </row>
    <row r="170" spans="6:7">
      <c r="F170" s="42"/>
      <c r="G170" s="42"/>
    </row>
    <row r="171" spans="6:7">
      <c r="F171" s="42"/>
      <c r="G171" s="42"/>
    </row>
    <row r="172" spans="6:7">
      <c r="F172" s="42"/>
      <c r="G172" s="42"/>
    </row>
    <row r="173" spans="6:7">
      <c r="F173" s="42"/>
      <c r="G173" s="42"/>
    </row>
    <row r="174" spans="6:7">
      <c r="F174" s="42"/>
      <c r="G174" s="42"/>
    </row>
    <row r="175" spans="6:7">
      <c r="F175" s="42"/>
      <c r="G175" s="42"/>
    </row>
    <row r="176" spans="6:7">
      <c r="F176" s="42"/>
      <c r="G176" s="42"/>
    </row>
    <row r="177" spans="5:7">
      <c r="F177" s="42"/>
      <c r="G177" s="42"/>
    </row>
    <row r="178" spans="5:7">
      <c r="F178" s="42"/>
      <c r="G178" s="42"/>
    </row>
    <row r="179" spans="5:7">
      <c r="F179" s="42"/>
      <c r="G179" s="42"/>
    </row>
    <row r="180" spans="5:7">
      <c r="F180" s="42"/>
      <c r="G180" s="42"/>
    </row>
    <row r="181" spans="5:7">
      <c r="F181" s="42"/>
      <c r="G181" s="42"/>
    </row>
    <row r="182" spans="5:7">
      <c r="F182" s="42"/>
      <c r="G182" s="42"/>
    </row>
    <row r="183" spans="5:7">
      <c r="E183" s="54"/>
      <c r="F183" s="42"/>
      <c r="G183" s="42"/>
    </row>
    <row r="184" spans="5:7">
      <c r="E184" s="54"/>
      <c r="F184" s="42"/>
      <c r="G184" s="42"/>
    </row>
    <row r="185" spans="5:7">
      <c r="E185" s="54"/>
      <c r="F185" s="42"/>
      <c r="G185" s="42"/>
    </row>
    <row r="186" spans="5:7">
      <c r="E186" s="54"/>
      <c r="F186" s="42"/>
      <c r="G186" s="42"/>
    </row>
    <row r="187" spans="5:7">
      <c r="E187" s="54"/>
      <c r="F187" s="42"/>
      <c r="G187" s="42"/>
    </row>
    <row r="188" spans="5:7">
      <c r="E188" s="54"/>
      <c r="F188" s="42"/>
      <c r="G188" s="42"/>
    </row>
    <row r="189" spans="5:7">
      <c r="E189" s="54"/>
      <c r="F189" s="42"/>
      <c r="G189" s="42"/>
    </row>
    <row r="190" spans="5:7">
      <c r="E190" s="54"/>
      <c r="F190" s="42"/>
      <c r="G190" s="42"/>
    </row>
    <row r="191" spans="5:7">
      <c r="E191" s="54"/>
      <c r="F191" s="42"/>
      <c r="G191" s="42"/>
    </row>
    <row r="192" spans="5:7">
      <c r="E192" s="54"/>
      <c r="F192" s="42"/>
      <c r="G192" s="42"/>
    </row>
    <row r="193" spans="5:7">
      <c r="E193" s="54"/>
      <c r="F193" s="42"/>
      <c r="G193" s="42"/>
    </row>
    <row r="194" spans="5:7">
      <c r="E194" s="54"/>
      <c r="F194" s="42"/>
      <c r="G194" s="42"/>
    </row>
    <row r="195" spans="5:7">
      <c r="E195" s="54"/>
      <c r="F195" s="42"/>
      <c r="G195" s="42"/>
    </row>
    <row r="196" spans="5:7">
      <c r="E196" s="54"/>
      <c r="F196" s="42"/>
      <c r="G196" s="42"/>
    </row>
    <row r="197" spans="5:7">
      <c r="E197" s="54"/>
      <c r="F197" s="42"/>
      <c r="G197" s="42"/>
    </row>
    <row r="198" spans="5:7">
      <c r="E198" s="54"/>
      <c r="F198" s="42"/>
      <c r="G198" s="42"/>
    </row>
    <row r="199" spans="5:7">
      <c r="E199" s="54"/>
      <c r="F199" s="42"/>
      <c r="G199" s="42"/>
    </row>
    <row r="200" spans="5:7">
      <c r="E200" s="54"/>
      <c r="F200" s="42"/>
      <c r="G200" s="42"/>
    </row>
    <row r="201" spans="5:7">
      <c r="E201" s="54"/>
      <c r="F201" s="42"/>
      <c r="G201" s="42"/>
    </row>
    <row r="202" spans="5:7">
      <c r="E202" s="54"/>
      <c r="F202" s="42"/>
      <c r="G202" s="42"/>
    </row>
    <row r="203" spans="5:7">
      <c r="E203" s="54"/>
      <c r="F203" s="42"/>
      <c r="G203" s="42"/>
    </row>
    <row r="204" spans="5:7">
      <c r="E204" s="54"/>
      <c r="F204" s="42"/>
      <c r="G204" s="42"/>
    </row>
    <row r="205" spans="5:7">
      <c r="E205" s="54"/>
      <c r="F205" s="42"/>
      <c r="G205" s="42"/>
    </row>
    <row r="206" spans="5:7">
      <c r="E206" s="54"/>
      <c r="F206" s="42"/>
      <c r="G206" s="42"/>
    </row>
    <row r="207" spans="5:7">
      <c r="E207" s="54"/>
      <c r="F207" s="42"/>
      <c r="G207" s="42"/>
    </row>
    <row r="208" spans="5:7">
      <c r="E208" s="54"/>
      <c r="F208" s="42"/>
      <c r="G208" s="42"/>
    </row>
    <row r="209" spans="5:7">
      <c r="E209" s="54"/>
      <c r="F209" s="42"/>
      <c r="G209" s="42"/>
    </row>
    <row r="210" spans="5:7">
      <c r="E210" s="54"/>
      <c r="F210" s="42"/>
      <c r="G210" s="42"/>
    </row>
    <row r="211" spans="5:7">
      <c r="E211" s="54"/>
      <c r="F211" s="42"/>
      <c r="G211" s="42"/>
    </row>
    <row r="212" spans="5:7">
      <c r="E212" s="54"/>
      <c r="F212" s="42"/>
      <c r="G212" s="42"/>
    </row>
    <row r="213" spans="5:7">
      <c r="E213" s="54"/>
      <c r="F213" s="42"/>
      <c r="G213" s="42"/>
    </row>
    <row r="214" spans="5:7">
      <c r="E214" s="54"/>
      <c r="F214" s="42"/>
      <c r="G214" s="42"/>
    </row>
    <row r="215" spans="5:7">
      <c r="E215" s="54"/>
      <c r="F215" s="42"/>
      <c r="G215" s="42"/>
    </row>
    <row r="216" spans="5:7">
      <c r="E216" s="54"/>
      <c r="F216" s="42"/>
      <c r="G216" s="42"/>
    </row>
    <row r="217" spans="5:7">
      <c r="E217" s="54"/>
      <c r="F217" s="42"/>
      <c r="G217" s="42"/>
    </row>
    <row r="218" spans="5:7">
      <c r="E218" s="54"/>
      <c r="F218" s="42"/>
      <c r="G218" s="42"/>
    </row>
    <row r="219" spans="5:7">
      <c r="E219" s="54"/>
      <c r="F219" s="42"/>
      <c r="G219" s="42"/>
    </row>
    <row r="220" spans="5:7">
      <c r="E220" s="54"/>
      <c r="F220" s="42"/>
      <c r="G220" s="42"/>
    </row>
    <row r="221" spans="5:7">
      <c r="E221" s="54"/>
      <c r="F221" s="42"/>
      <c r="G221" s="42"/>
    </row>
  </sheetData>
  <mergeCells count="8">
    <mergeCell ref="P48:Q48"/>
    <mergeCell ref="P50:Q50"/>
    <mergeCell ref="B5:D5"/>
    <mergeCell ref="B19:G19"/>
    <mergeCell ref="J19:M19"/>
    <mergeCell ref="P42:Q42"/>
    <mergeCell ref="P43:Q43"/>
    <mergeCell ref="P44:Q45"/>
  </mergeCells>
  <dataValidations count="1">
    <dataValidation type="list" allowBlank="1" showInputMessage="1" showErrorMessage="1" sqref="J33" xr:uid="{F2350EED-3A59-432A-A396-877D187A5C89}">
      <formula1>$D$17:$D$38</formula1>
    </dataValidation>
  </dataValidations>
  <hyperlinks>
    <hyperlink ref="E109" r:id="rId1" display="https://www.gov.uk/carbon-valuation " xr:uid="{3DF82CB2-D545-4B1E-9BCD-317BDE94844B}"/>
    <hyperlink ref="F10" r:id="rId2" xr:uid="{0432530C-2122-452C-BD32-305AC70660DE}"/>
    <hyperlink ref="F11" r:id="rId3" xr:uid="{21A13561-FC27-415B-814A-396C392A9290}"/>
    <hyperlink ref="F12" r:id="rId4" xr:uid="{1BCD68D3-09FF-483E-8CD3-C6BFB19CAB98}"/>
    <hyperlink ref="F13" r:id="rId5" xr:uid="{D2E86783-882D-4708-845E-0FD18066166B}"/>
    <hyperlink ref="A109" r:id="rId6" xr:uid="{9E008721-67C9-45CC-8B1D-129349A92A0B}"/>
    <hyperlink ref="A110" r:id="rId7" xr:uid="{E5A5DB23-2634-4CC4-BB11-7BB7F0AAA291}"/>
    <hyperlink ref="M9" r:id="rId8" display="https://assets.publishing.service.gov.uk/government/uploads/system/uploads/attachment_data/file/671191/Updated_short-term_traded_carbon_values_for_modelling_purposes.pdf" xr:uid="{36781E48-1C78-4968-B339-86EE6B984072}"/>
    <hyperlink ref="F16" r:id="rId9" xr:uid="{AF11B0C7-7E7F-4638-BCD2-99C015F02C53}"/>
    <hyperlink ref="F15" r:id="rId10" xr:uid="{C209DAFC-689A-44AB-947C-2C49C3CC76F8}"/>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D12DC-0B1D-44DD-BD94-42DD5FACEDC2}">
  <dimension ref="A1:G8"/>
  <sheetViews>
    <sheetView workbookViewId="0">
      <selection activeCell="E11" sqref="E11"/>
    </sheetView>
  </sheetViews>
  <sheetFormatPr defaultRowHeight="14.45"/>
  <cols>
    <col min="1" max="1" width="28.28515625" customWidth="1"/>
    <col min="2" max="2" width="19" bestFit="1" customWidth="1"/>
  </cols>
  <sheetData>
    <row r="1" spans="1:7">
      <c r="A1" s="23" t="s">
        <v>136</v>
      </c>
    </row>
    <row r="2" spans="1:7">
      <c r="A2" t="s">
        <v>137</v>
      </c>
    </row>
    <row r="4" spans="1:7" ht="29.1">
      <c r="A4" s="21" t="s">
        <v>290</v>
      </c>
      <c r="B4">
        <v>180</v>
      </c>
      <c r="D4" t="s">
        <v>291</v>
      </c>
    </row>
    <row r="5" spans="1:7" ht="43.5">
      <c r="A5" s="21" t="s">
        <v>292</v>
      </c>
      <c r="B5">
        <v>170</v>
      </c>
      <c r="D5" t="s">
        <v>293</v>
      </c>
    </row>
    <row r="7" spans="1:7">
      <c r="A7" t="s">
        <v>294</v>
      </c>
      <c r="B7">
        <f>B4-B5</f>
        <v>10</v>
      </c>
    </row>
    <row r="8" spans="1:7">
      <c r="A8" t="s">
        <v>295</v>
      </c>
      <c r="B8">
        <f>B7*50</f>
        <v>500</v>
      </c>
      <c r="D8" t="s">
        <v>296</v>
      </c>
      <c r="G8" t="s">
        <v>297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4319-2218-49AF-90B4-02AC2942F355}">
  <dimension ref="A1:F35"/>
  <sheetViews>
    <sheetView topLeftCell="A10" workbookViewId="0">
      <selection activeCell="A18" sqref="A18"/>
    </sheetView>
  </sheetViews>
  <sheetFormatPr defaultRowHeight="14.45"/>
  <cols>
    <col min="1" max="1" width="40.140625" customWidth="1"/>
    <col min="7" max="7" width="20" bestFit="1" customWidth="1"/>
    <col min="8" max="8" width="10.140625" bestFit="1" customWidth="1"/>
  </cols>
  <sheetData>
    <row r="1" spans="1:6">
      <c r="A1" s="23" t="s">
        <v>138</v>
      </c>
    </row>
    <row r="2" spans="1:6">
      <c r="A2" t="s">
        <v>140</v>
      </c>
    </row>
    <row r="4" spans="1:6">
      <c r="A4" s="21" t="s">
        <v>298</v>
      </c>
      <c r="B4">
        <v>100</v>
      </c>
      <c r="F4" s="112"/>
    </row>
    <row r="5" spans="1:6">
      <c r="A5" t="s">
        <v>299</v>
      </c>
      <c r="B5">
        <v>1.2</v>
      </c>
    </row>
    <row r="7" spans="1:6">
      <c r="A7" t="s">
        <v>300</v>
      </c>
      <c r="B7">
        <f>B4*B5</f>
        <v>120</v>
      </c>
    </row>
    <row r="10" spans="1:6">
      <c r="A10" s="23" t="s">
        <v>138</v>
      </c>
    </row>
    <row r="12" spans="1:6">
      <c r="A12" s="27" t="s">
        <v>140</v>
      </c>
    </row>
    <row r="14" spans="1:6">
      <c r="A14" s="114" t="s">
        <v>301</v>
      </c>
    </row>
    <row r="16" spans="1:6">
      <c r="A16" s="113" t="s">
        <v>302</v>
      </c>
    </row>
    <row r="18" spans="1:1">
      <c r="A18" t="s">
        <v>303</v>
      </c>
    </row>
    <row r="19" spans="1:1">
      <c r="A19" t="s">
        <v>304</v>
      </c>
    </row>
    <row r="20" spans="1:1">
      <c r="A20" t="s">
        <v>305</v>
      </c>
    </row>
    <row r="21" spans="1:1">
      <c r="A21" t="s">
        <v>306</v>
      </c>
    </row>
    <row r="23" spans="1:1">
      <c r="A23" t="s">
        <v>307</v>
      </c>
    </row>
    <row r="24" spans="1:1">
      <c r="A24" t="s">
        <v>308</v>
      </c>
    </row>
    <row r="25" spans="1:1">
      <c r="A25" t="s">
        <v>309</v>
      </c>
    </row>
    <row r="26" spans="1:1">
      <c r="A26" t="s">
        <v>310</v>
      </c>
    </row>
    <row r="27" spans="1:1">
      <c r="A27" t="s">
        <v>311</v>
      </c>
    </row>
    <row r="28" spans="1:1">
      <c r="A28" t="s">
        <v>312</v>
      </c>
    </row>
    <row r="29" spans="1:1">
      <c r="A29" t="s">
        <v>313</v>
      </c>
    </row>
    <row r="31" spans="1:1">
      <c r="A31" t="s">
        <v>314</v>
      </c>
    </row>
    <row r="32" spans="1:1">
      <c r="A32" t="s">
        <v>315</v>
      </c>
    </row>
    <row r="34" spans="1:1">
      <c r="A34" t="s">
        <v>316</v>
      </c>
    </row>
    <row r="35" spans="1:1">
      <c r="A35" t="s">
        <v>317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0EED9-B3D2-4953-8778-DA6091A33D97}">
  <dimension ref="A1:D52"/>
  <sheetViews>
    <sheetView topLeftCell="A22" workbookViewId="0">
      <selection activeCell="A48" sqref="A48"/>
    </sheetView>
  </sheetViews>
  <sheetFormatPr defaultRowHeight="14.45"/>
  <cols>
    <col min="1" max="1" width="27.5703125" customWidth="1"/>
    <col min="2" max="2" width="11.85546875" customWidth="1"/>
  </cols>
  <sheetData>
    <row r="1" spans="1:4">
      <c r="A1" t="s">
        <v>141</v>
      </c>
      <c r="D1" t="s">
        <v>318</v>
      </c>
    </row>
    <row r="2" spans="1:4">
      <c r="A2" t="s">
        <v>143</v>
      </c>
    </row>
    <row r="4" spans="1:4">
      <c r="A4" t="s">
        <v>319</v>
      </c>
      <c r="B4">
        <v>300</v>
      </c>
      <c r="C4" t="s">
        <v>320</v>
      </c>
    </row>
    <row r="5" spans="1:4">
      <c r="A5" t="s">
        <v>321</v>
      </c>
      <c r="B5">
        <v>10</v>
      </c>
      <c r="C5" t="s">
        <v>320</v>
      </c>
    </row>
    <row r="6" spans="1:4">
      <c r="A6" t="s">
        <v>322</v>
      </c>
      <c r="B6">
        <v>250</v>
      </c>
      <c r="C6" t="s">
        <v>320</v>
      </c>
    </row>
    <row r="7" spans="1:4">
      <c r="A7" t="s">
        <v>323</v>
      </c>
      <c r="B7">
        <v>25</v>
      </c>
      <c r="C7" t="s">
        <v>320</v>
      </c>
    </row>
    <row r="8" spans="1:4">
      <c r="A8" t="s">
        <v>324</v>
      </c>
      <c r="B8" s="110">
        <f>'ON-P Fixed Inputs'!F38</f>
        <v>4.4705882352941178</v>
      </c>
      <c r="C8" t="s">
        <v>325</v>
      </c>
    </row>
    <row r="11" spans="1:4">
      <c r="A11" t="s">
        <v>326</v>
      </c>
      <c r="B11" s="28">
        <f>((B4+B5)-(B6+B7))*B8</f>
        <v>156.47058823529412</v>
      </c>
    </row>
    <row r="13" spans="1:4">
      <c r="A13" s="24" t="s">
        <v>327</v>
      </c>
      <c r="B13" s="24" t="s">
        <v>328</v>
      </c>
      <c r="C13" s="24">
        <v>270</v>
      </c>
      <c r="D13" s="22"/>
    </row>
    <row r="14" spans="1:4">
      <c r="A14" s="25"/>
      <c r="B14" s="25"/>
      <c r="C14" s="24"/>
      <c r="D14" s="22"/>
    </row>
    <row r="15" spans="1:4">
      <c r="A15" s="24" t="s">
        <v>329</v>
      </c>
      <c r="B15" s="24" t="s">
        <v>330</v>
      </c>
      <c r="C15" s="24">
        <v>0.24299999999999999</v>
      </c>
      <c r="D15" s="22"/>
    </row>
    <row r="16" spans="1:4">
      <c r="A16" s="22"/>
      <c r="B16" s="22"/>
      <c r="C16" s="22"/>
      <c r="D16" s="22"/>
    </row>
    <row r="17" spans="1:4">
      <c r="A17" s="22" t="s">
        <v>331</v>
      </c>
      <c r="B17" s="22"/>
      <c r="C17" s="22"/>
      <c r="D17" s="22"/>
    </row>
    <row r="18" spans="1:4">
      <c r="A18" s="22"/>
      <c r="B18" s="22"/>
      <c r="C18" s="22"/>
      <c r="D18" s="22"/>
    </row>
    <row r="19" spans="1:4">
      <c r="A19" s="22" t="s">
        <v>332</v>
      </c>
      <c r="B19" s="22"/>
      <c r="C19" s="22"/>
      <c r="D19" s="22"/>
    </row>
    <row r="20" spans="1:4">
      <c r="A20" s="22"/>
      <c r="B20" s="22"/>
      <c r="C20" s="22"/>
      <c r="D20" s="22"/>
    </row>
    <row r="21" spans="1:4">
      <c r="A21" s="22"/>
      <c r="B21" s="22"/>
      <c r="C21" s="22"/>
      <c r="D21" s="22"/>
    </row>
    <row r="22" spans="1:4">
      <c r="A22" s="22"/>
      <c r="B22" s="22"/>
      <c r="C22" s="22"/>
      <c r="D22" s="22"/>
    </row>
    <row r="23" spans="1:4">
      <c r="A23" s="22" t="s">
        <v>154</v>
      </c>
      <c r="B23" s="22"/>
      <c r="C23" s="22"/>
      <c r="D23" s="22"/>
    </row>
    <row r="24" spans="1:4">
      <c r="A24" s="22"/>
      <c r="B24" s="22" t="s">
        <v>333</v>
      </c>
      <c r="C24" s="22" t="s">
        <v>334</v>
      </c>
      <c r="D24" s="22"/>
    </row>
    <row r="25" spans="1:4">
      <c r="A25" s="22" t="s">
        <v>281</v>
      </c>
      <c r="B25" s="26">
        <v>15.44</v>
      </c>
      <c r="C25" s="26">
        <f>B25/2</f>
        <v>7.72</v>
      </c>
      <c r="D25" s="22"/>
    </row>
    <row r="26" spans="1:4">
      <c r="A26" s="22" t="s">
        <v>282</v>
      </c>
      <c r="B26" s="26">
        <v>0.38</v>
      </c>
      <c r="C26" s="26">
        <f>B26/2</f>
        <v>0.19</v>
      </c>
      <c r="D26" s="22"/>
    </row>
    <row r="27" spans="1:4">
      <c r="A27" s="22"/>
      <c r="B27" s="22"/>
      <c r="C27" s="22"/>
      <c r="D27" s="22"/>
    </row>
    <row r="28" spans="1:4">
      <c r="A28" s="22" t="s">
        <v>335</v>
      </c>
      <c r="B28" s="22"/>
      <c r="C28" s="22"/>
      <c r="D28" s="22"/>
    </row>
    <row r="29" spans="1:4">
      <c r="A29" s="22"/>
      <c r="B29" s="22"/>
      <c r="C29" s="22"/>
      <c r="D29" s="22"/>
    </row>
    <row r="30" spans="1:4">
      <c r="A30" s="22"/>
      <c r="B30" s="22"/>
      <c r="C30" s="22"/>
      <c r="D30" s="22"/>
    </row>
    <row r="31" spans="1:4">
      <c r="A31" s="22"/>
      <c r="B31" s="22"/>
      <c r="C31" s="22"/>
      <c r="D31" s="22"/>
    </row>
    <row r="35" spans="1:1">
      <c r="A35" s="114" t="s">
        <v>336</v>
      </c>
    </row>
    <row r="36" spans="1:1">
      <c r="A36" s="113" t="s">
        <v>337</v>
      </c>
    </row>
    <row r="37" spans="1:1">
      <c r="A37" t="s">
        <v>338</v>
      </c>
    </row>
    <row r="38" spans="1:1">
      <c r="A38" t="s">
        <v>339</v>
      </c>
    </row>
    <row r="39" spans="1:1">
      <c r="A39" t="s">
        <v>340</v>
      </c>
    </row>
    <row r="40" spans="1:1">
      <c r="A40" t="s">
        <v>341</v>
      </c>
    </row>
    <row r="41" spans="1:1">
      <c r="A41" t="s">
        <v>342</v>
      </c>
    </row>
    <row r="42" spans="1:1">
      <c r="A42" t="s">
        <v>343</v>
      </c>
    </row>
    <row r="43" spans="1:1">
      <c r="A43" s="108" t="s">
        <v>344</v>
      </c>
    </row>
    <row r="44" spans="1:1">
      <c r="A44" t="s">
        <v>345</v>
      </c>
    </row>
    <row r="45" spans="1:1">
      <c r="A45" t="s">
        <v>346</v>
      </c>
    </row>
    <row r="47" spans="1:1">
      <c r="A47" s="113" t="s">
        <v>347</v>
      </c>
    </row>
    <row r="48" spans="1:1">
      <c r="A48" t="s">
        <v>348</v>
      </c>
    </row>
    <row r="49" spans="1:1">
      <c r="A49" t="s">
        <v>349</v>
      </c>
    </row>
    <row r="50" spans="1:1">
      <c r="A50" t="s">
        <v>350</v>
      </c>
    </row>
    <row r="52" spans="1:1">
      <c r="A52" t="s">
        <v>351</v>
      </c>
    </row>
  </sheetData>
  <hyperlinks>
    <hyperlink ref="A43" r:id="rId1" xr:uid="{BEA47585-95DB-4B56-AC7C-2F4BA7F0B4B2}"/>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6E97D-742D-407D-9B7E-98203A535653}">
  <dimension ref="B2:AB68"/>
  <sheetViews>
    <sheetView topLeftCell="A10" zoomScale="40" zoomScaleNormal="40" workbookViewId="0">
      <selection activeCell="I25" sqref="I25"/>
    </sheetView>
  </sheetViews>
  <sheetFormatPr defaultRowHeight="14.45"/>
  <cols>
    <col min="2" max="2" width="23" bestFit="1" customWidth="1"/>
    <col min="3" max="3" width="16.140625" bestFit="1" customWidth="1"/>
    <col min="4" max="4" width="19.42578125" bestFit="1" customWidth="1"/>
    <col min="5" max="5" width="12" bestFit="1" customWidth="1"/>
    <col min="6" max="7" width="12" customWidth="1"/>
    <col min="8" max="8" width="16.5703125" bestFit="1" customWidth="1"/>
    <col min="9" max="9" width="16.140625" bestFit="1" customWidth="1"/>
    <col min="10" max="10" width="15.28515625" bestFit="1" customWidth="1"/>
    <col min="12" max="12" width="14" bestFit="1" customWidth="1"/>
    <col min="15" max="15" width="16.5703125" bestFit="1" customWidth="1"/>
    <col min="16" max="16" width="16.140625" bestFit="1" customWidth="1"/>
    <col min="17" max="17" width="15.28515625" bestFit="1" customWidth="1"/>
    <col min="20" max="20" width="16.42578125" customWidth="1"/>
    <col min="21" max="21" width="20.85546875" bestFit="1" customWidth="1"/>
    <col min="22" max="22" width="12.28515625" bestFit="1" customWidth="1"/>
    <col min="25" max="25" width="20.85546875" bestFit="1" customWidth="1"/>
    <col min="26" max="26" width="21.42578125" bestFit="1" customWidth="1"/>
    <col min="27" max="27" width="24.85546875" bestFit="1" customWidth="1"/>
    <col min="28" max="28" width="24.42578125" bestFit="1" customWidth="1"/>
    <col min="29" max="29" width="20.85546875" bestFit="1" customWidth="1"/>
    <col min="30" max="30" width="16.85546875" bestFit="1" customWidth="1"/>
    <col min="31" max="31" width="20.42578125" bestFit="1" customWidth="1"/>
    <col min="32" max="32" width="20" bestFit="1" customWidth="1"/>
  </cols>
  <sheetData>
    <row r="2" spans="2:28">
      <c r="Y2" s="27"/>
      <c r="Z2" s="27"/>
      <c r="AA2" s="27"/>
      <c r="AB2" s="27"/>
    </row>
    <row r="3" spans="2:28">
      <c r="B3" s="10"/>
      <c r="C3" s="10" t="s">
        <v>259</v>
      </c>
      <c r="D3" s="10" t="s">
        <v>260</v>
      </c>
      <c r="H3" s="10"/>
      <c r="I3" s="10" t="s">
        <v>259</v>
      </c>
      <c r="J3" s="10" t="s">
        <v>260</v>
      </c>
      <c r="O3" s="10"/>
      <c r="P3" s="10" t="s">
        <v>259</v>
      </c>
      <c r="Q3" s="10" t="s">
        <v>260</v>
      </c>
      <c r="U3" s="119"/>
      <c r="V3" s="119"/>
      <c r="W3" s="120"/>
      <c r="Y3" s="121"/>
      <c r="Z3" s="121"/>
      <c r="AA3" s="121"/>
      <c r="AB3" s="121"/>
    </row>
    <row r="4" spans="2:28">
      <c r="B4" s="10">
        <v>1</v>
      </c>
      <c r="C4" s="10">
        <v>3</v>
      </c>
      <c r="D4" s="10">
        <v>2</v>
      </c>
      <c r="H4" s="10">
        <v>1</v>
      </c>
      <c r="I4" s="10">
        <v>5</v>
      </c>
      <c r="J4" s="10">
        <v>1</v>
      </c>
      <c r="O4" s="10">
        <v>1</v>
      </c>
      <c r="P4" s="10">
        <v>8</v>
      </c>
      <c r="Q4" s="10">
        <v>2</v>
      </c>
      <c r="U4" s="120"/>
      <c r="V4" s="120"/>
      <c r="W4" s="120"/>
      <c r="Y4" s="27"/>
      <c r="Z4" s="27"/>
      <c r="AA4" s="27"/>
      <c r="AB4" s="27"/>
    </row>
    <row r="5" spans="2:28">
      <c r="B5" s="10">
        <f>SUM(B4+ 1)</f>
        <v>2</v>
      </c>
      <c r="C5" s="10">
        <v>2</v>
      </c>
      <c r="D5" s="10">
        <v>1</v>
      </c>
      <c r="H5" s="10">
        <f>SUM(H4+ 1)</f>
        <v>2</v>
      </c>
      <c r="I5" s="10">
        <v>3</v>
      </c>
      <c r="J5" s="10">
        <v>5</v>
      </c>
      <c r="O5" s="10">
        <f>SUM(O4+ 1)</f>
        <v>2</v>
      </c>
      <c r="P5" s="10">
        <v>9</v>
      </c>
      <c r="Q5" s="10">
        <v>4</v>
      </c>
      <c r="U5" s="122"/>
      <c r="V5" s="120"/>
      <c r="W5" s="120"/>
      <c r="Y5" s="123"/>
      <c r="Z5" s="27"/>
      <c r="AA5" s="120"/>
      <c r="AB5" s="27"/>
    </row>
    <row r="6" spans="2:28">
      <c r="B6" s="10">
        <f t="shared" ref="B6:B13" si="0">SUM(B5+ 1)</f>
        <v>3</v>
      </c>
      <c r="C6" s="10">
        <v>1</v>
      </c>
      <c r="D6" s="10">
        <v>5</v>
      </c>
      <c r="H6" s="10">
        <f t="shared" ref="H6:H9" si="1">SUM(H5+ 1)</f>
        <v>3</v>
      </c>
      <c r="I6" s="10">
        <v>2</v>
      </c>
      <c r="J6" s="10">
        <v>6</v>
      </c>
      <c r="O6" s="10">
        <f t="shared" ref="O6:O9" si="2">SUM(O5+ 1)</f>
        <v>3</v>
      </c>
      <c r="P6" s="10">
        <v>12</v>
      </c>
      <c r="Q6" s="10">
        <v>13</v>
      </c>
      <c r="U6" s="124"/>
      <c r="V6" s="120"/>
      <c r="W6" s="120"/>
      <c r="Y6" s="125"/>
      <c r="Z6" s="27"/>
      <c r="AA6" s="27"/>
      <c r="AB6" s="27"/>
    </row>
    <row r="7" spans="2:28">
      <c r="B7" s="10">
        <f t="shared" si="0"/>
        <v>4</v>
      </c>
      <c r="C7" s="10">
        <v>1</v>
      </c>
      <c r="D7" s="10">
        <v>1</v>
      </c>
      <c r="H7" s="10">
        <f t="shared" si="1"/>
        <v>4</v>
      </c>
      <c r="I7" s="10">
        <v>6</v>
      </c>
      <c r="J7" s="10">
        <v>3</v>
      </c>
      <c r="O7" s="10">
        <f t="shared" si="2"/>
        <v>4</v>
      </c>
      <c r="P7" s="10">
        <v>8</v>
      </c>
      <c r="Q7" s="10">
        <v>7</v>
      </c>
      <c r="U7" s="124"/>
      <c r="V7" s="120"/>
      <c r="W7" s="120"/>
      <c r="Y7" s="125"/>
      <c r="Z7" s="27"/>
      <c r="AA7" s="27"/>
      <c r="AB7" s="27"/>
    </row>
    <row r="8" spans="2:28">
      <c r="B8" s="10">
        <f t="shared" si="0"/>
        <v>5</v>
      </c>
      <c r="C8" s="10">
        <v>2</v>
      </c>
      <c r="D8" s="10">
        <v>2</v>
      </c>
      <c r="H8" s="10">
        <f t="shared" si="1"/>
        <v>5</v>
      </c>
      <c r="I8" s="10">
        <v>8</v>
      </c>
      <c r="J8" s="10">
        <v>9</v>
      </c>
      <c r="O8" s="10">
        <f t="shared" si="2"/>
        <v>5</v>
      </c>
      <c r="P8" s="10">
        <v>3</v>
      </c>
      <c r="Q8" s="10">
        <v>3</v>
      </c>
      <c r="U8" s="124"/>
      <c r="V8" s="120"/>
      <c r="W8" s="120"/>
      <c r="Y8" s="125"/>
      <c r="Z8" s="27"/>
      <c r="AA8" s="126"/>
      <c r="AB8" s="27"/>
    </row>
    <row r="9" spans="2:28">
      <c r="B9" s="10">
        <f t="shared" si="0"/>
        <v>6</v>
      </c>
      <c r="C9" s="10">
        <v>2</v>
      </c>
      <c r="D9" s="10">
        <v>1</v>
      </c>
      <c r="H9" s="10">
        <f t="shared" si="1"/>
        <v>6</v>
      </c>
      <c r="I9" s="10">
        <v>2</v>
      </c>
      <c r="J9" s="10">
        <v>5</v>
      </c>
      <c r="O9" s="10">
        <f t="shared" si="2"/>
        <v>6</v>
      </c>
      <c r="P9" s="10">
        <v>2</v>
      </c>
      <c r="Q9" s="10">
        <v>7</v>
      </c>
    </row>
    <row r="10" spans="2:28">
      <c r="B10" s="10">
        <f>SUM(B9+ 1)</f>
        <v>7</v>
      </c>
      <c r="C10" s="10">
        <v>1</v>
      </c>
      <c r="D10" s="10">
        <v>2</v>
      </c>
      <c r="H10" s="10">
        <f>SUM(H9+ 1)</f>
        <v>7</v>
      </c>
      <c r="I10" s="10">
        <v>1</v>
      </c>
      <c r="J10" s="10">
        <v>2</v>
      </c>
      <c r="O10" s="10">
        <f>SUM(O9+ 1)</f>
        <v>7</v>
      </c>
      <c r="P10" s="10">
        <v>5</v>
      </c>
      <c r="Q10" s="10">
        <v>9</v>
      </c>
    </row>
    <row r="11" spans="2:28">
      <c r="B11" s="10">
        <f t="shared" si="0"/>
        <v>8</v>
      </c>
      <c r="C11" s="10">
        <v>1</v>
      </c>
      <c r="D11" s="10">
        <v>3</v>
      </c>
      <c r="H11" s="10">
        <f t="shared" ref="H11" si="3">SUM(H10+ 1)</f>
        <v>8</v>
      </c>
      <c r="I11" s="10">
        <v>5</v>
      </c>
      <c r="J11" s="10">
        <v>6</v>
      </c>
      <c r="O11" s="10">
        <f t="shared" ref="O11" si="4">SUM(O10+ 1)</f>
        <v>8</v>
      </c>
      <c r="P11" s="10">
        <v>6</v>
      </c>
      <c r="Q11" s="10">
        <v>5</v>
      </c>
    </row>
    <row r="12" spans="2:28">
      <c r="B12" s="10">
        <f>SUM(B11+ 1)</f>
        <v>9</v>
      </c>
      <c r="C12" s="10">
        <v>1</v>
      </c>
      <c r="D12" s="10">
        <v>1</v>
      </c>
      <c r="H12" s="10">
        <f>SUM(H11+ 1)</f>
        <v>9</v>
      </c>
      <c r="I12" s="10">
        <v>3</v>
      </c>
      <c r="J12" s="10">
        <v>3</v>
      </c>
      <c r="O12" s="10">
        <f>SUM(O11+ 1)</f>
        <v>9</v>
      </c>
      <c r="P12" s="10">
        <v>3</v>
      </c>
      <c r="Q12" s="10">
        <v>6</v>
      </c>
    </row>
    <row r="13" spans="2:28">
      <c r="B13" s="10">
        <f t="shared" si="0"/>
        <v>10</v>
      </c>
      <c r="C13" s="10">
        <v>1</v>
      </c>
      <c r="D13" s="10">
        <v>1</v>
      </c>
      <c r="H13" s="10">
        <f t="shared" ref="H13" si="5">SUM(H12+ 1)</f>
        <v>10</v>
      </c>
      <c r="I13" s="10">
        <v>1</v>
      </c>
      <c r="J13" s="10">
        <v>1</v>
      </c>
      <c r="O13" s="10">
        <f t="shared" ref="O13" si="6">SUM(O12+ 1)</f>
        <v>10</v>
      </c>
      <c r="P13" s="10">
        <v>8</v>
      </c>
      <c r="Q13" s="10">
        <v>4</v>
      </c>
    </row>
    <row r="14" spans="2:28">
      <c r="B14" s="127" t="s">
        <v>261</v>
      </c>
      <c r="C14" s="128">
        <f>AVERAGE(C2:C13)</f>
        <v>1.5</v>
      </c>
      <c r="D14" s="128">
        <f xml:space="preserve"> AVERAGE(D2:D13)</f>
        <v>1.9</v>
      </c>
      <c r="H14" s="127" t="s">
        <v>261</v>
      </c>
      <c r="I14" s="10">
        <f>AVERAGE(I4:I13)</f>
        <v>3.6</v>
      </c>
      <c r="J14" s="10">
        <f xml:space="preserve"> AVERAGE(J4:J13)</f>
        <v>4.0999999999999996</v>
      </c>
      <c r="O14" s="127" t="s">
        <v>261</v>
      </c>
      <c r="P14" s="10">
        <f>AVERAGE(P4:P13)</f>
        <v>6.4</v>
      </c>
      <c r="Q14" s="10">
        <f>AVERAGE(Q4:Q13)</f>
        <v>6</v>
      </c>
    </row>
    <row r="15" spans="2:28" ht="15" thickBot="1">
      <c r="I15" s="129"/>
      <c r="P15" s="129"/>
      <c r="T15" s="130" t="s">
        <v>262</v>
      </c>
      <c r="U15" s="130" t="s">
        <v>263</v>
      </c>
    </row>
    <row r="16" spans="2:28" ht="15" thickBot="1">
      <c r="B16" s="163" t="s">
        <v>264</v>
      </c>
      <c r="C16" s="164"/>
      <c r="D16" s="165"/>
      <c r="H16" s="163" t="s">
        <v>265</v>
      </c>
      <c r="I16" s="164"/>
      <c r="J16" s="165"/>
      <c r="O16" s="163" t="s">
        <v>266</v>
      </c>
      <c r="P16" s="164"/>
      <c r="Q16" s="165"/>
      <c r="T16" s="130" t="s">
        <v>267</v>
      </c>
      <c r="U16" s="130" t="s">
        <v>268</v>
      </c>
    </row>
    <row r="17" spans="2:21">
      <c r="B17" t="s">
        <v>269</v>
      </c>
      <c r="C17">
        <v>50</v>
      </c>
      <c r="D17" t="s">
        <v>237</v>
      </c>
      <c r="H17" t="s">
        <v>269</v>
      </c>
      <c r="I17">
        <v>50</v>
      </c>
      <c r="J17" t="s">
        <v>237</v>
      </c>
      <c r="O17" t="s">
        <v>269</v>
      </c>
      <c r="P17">
        <v>50</v>
      </c>
      <c r="Q17" t="s">
        <v>237</v>
      </c>
      <c r="T17" s="130" t="s">
        <v>270</v>
      </c>
      <c r="U17" s="10" t="s">
        <v>271</v>
      </c>
    </row>
    <row r="18" spans="2:21">
      <c r="B18" t="s">
        <v>272</v>
      </c>
      <c r="C18" s="131">
        <f>'ON-P Fixed Inputs'!$K$12</f>
        <v>0.37667123985905826</v>
      </c>
      <c r="D18" t="s">
        <v>273</v>
      </c>
      <c r="H18" t="s">
        <v>272</v>
      </c>
      <c r="I18" s="131">
        <f>'ON-P Fixed Inputs'!$K$12</f>
        <v>0.37667123985905826</v>
      </c>
      <c r="J18" t="s">
        <v>273</v>
      </c>
      <c r="O18" t="s">
        <v>272</v>
      </c>
      <c r="P18" s="131">
        <f>'ON-P Fixed Inputs'!$K$12</f>
        <v>0.37667123985905826</v>
      </c>
      <c r="Q18" t="s">
        <v>273</v>
      </c>
      <c r="T18" s="130" t="s">
        <v>274</v>
      </c>
      <c r="U18" s="10" t="s">
        <v>275</v>
      </c>
    </row>
    <row r="19" spans="2:21">
      <c r="B19" t="s">
        <v>276</v>
      </c>
      <c r="C19" s="131">
        <f>'ON-P Fixed Inputs'!$K$11</f>
        <v>15.443520834221436</v>
      </c>
      <c r="D19" t="s">
        <v>273</v>
      </c>
      <c r="H19" t="s">
        <v>276</v>
      </c>
      <c r="I19" s="131">
        <f>'ON-P Fixed Inputs'!$K$11</f>
        <v>15.443520834221436</v>
      </c>
      <c r="J19" t="s">
        <v>273</v>
      </c>
      <c r="O19" t="s">
        <v>276</v>
      </c>
      <c r="P19" s="131">
        <f>'ON-P Fixed Inputs'!$K$11</f>
        <v>15.443520834221436</v>
      </c>
      <c r="Q19" t="s">
        <v>273</v>
      </c>
      <c r="T19" s="132"/>
      <c r="U19" s="27"/>
    </row>
    <row r="20" spans="2:21">
      <c r="B20" s="133" t="s">
        <v>262</v>
      </c>
      <c r="C20" s="134">
        <v>40</v>
      </c>
      <c r="D20" s="133" t="s">
        <v>263</v>
      </c>
      <c r="H20" s="133" t="s">
        <v>262</v>
      </c>
      <c r="I20" s="134">
        <v>40</v>
      </c>
      <c r="J20" s="133" t="s">
        <v>263</v>
      </c>
      <c r="O20" s="133" t="s">
        <v>262</v>
      </c>
      <c r="P20" s="134">
        <v>40</v>
      </c>
      <c r="Q20" s="133" t="s">
        <v>263</v>
      </c>
    </row>
    <row r="21" spans="2:21">
      <c r="B21" s="132" t="s">
        <v>267</v>
      </c>
      <c r="C21" s="134">
        <v>3</v>
      </c>
      <c r="D21" s="133" t="s">
        <v>268</v>
      </c>
      <c r="H21" s="132" t="s">
        <v>267</v>
      </c>
      <c r="I21" s="134">
        <v>3</v>
      </c>
      <c r="J21" s="133" t="s">
        <v>268</v>
      </c>
      <c r="O21" s="132" t="s">
        <v>267</v>
      </c>
      <c r="P21" s="134">
        <v>3</v>
      </c>
      <c r="Q21" s="133" t="s">
        <v>268</v>
      </c>
    </row>
    <row r="22" spans="2:21">
      <c r="B22" s="135" t="s">
        <v>270</v>
      </c>
      <c r="C22" s="134">
        <v>20</v>
      </c>
      <c r="D22" s="133" t="s">
        <v>271</v>
      </c>
      <c r="H22" s="135" t="s">
        <v>270</v>
      </c>
      <c r="I22" s="134">
        <v>10</v>
      </c>
      <c r="J22" s="133" t="s">
        <v>271</v>
      </c>
      <c r="O22" s="135" t="s">
        <v>270</v>
      </c>
      <c r="P22" s="134">
        <v>5</v>
      </c>
      <c r="Q22" s="133" t="s">
        <v>271</v>
      </c>
    </row>
    <row r="23" spans="2:21">
      <c r="B23" s="132" t="s">
        <v>275</v>
      </c>
      <c r="C23" s="134">
        <v>5</v>
      </c>
      <c r="D23" t="s">
        <v>275</v>
      </c>
      <c r="H23" s="132" t="s">
        <v>275</v>
      </c>
      <c r="I23" s="134">
        <v>3</v>
      </c>
      <c r="J23" t="s">
        <v>275</v>
      </c>
      <c r="O23" s="132" t="s">
        <v>275</v>
      </c>
      <c r="P23" s="134">
        <v>1</v>
      </c>
      <c r="Q23" t="s">
        <v>275</v>
      </c>
    </row>
    <row r="24" spans="2:21">
      <c r="B24" s="133" t="s">
        <v>277</v>
      </c>
      <c r="C24" s="134">
        <v>145</v>
      </c>
      <c r="D24" s="133" t="s">
        <v>278</v>
      </c>
      <c r="H24" s="133" t="s">
        <v>277</v>
      </c>
      <c r="I24" s="134">
        <v>145</v>
      </c>
      <c r="J24" s="133" t="s">
        <v>278</v>
      </c>
      <c r="O24" s="133" t="s">
        <v>277</v>
      </c>
      <c r="P24" s="134">
        <v>145</v>
      </c>
      <c r="Q24" s="133" t="s">
        <v>278</v>
      </c>
    </row>
    <row r="25" spans="2:21">
      <c r="B25" s="133"/>
      <c r="C25" s="134"/>
      <c r="H25" s="133"/>
      <c r="I25" s="134"/>
      <c r="O25" s="133"/>
      <c r="P25" s="134"/>
    </row>
    <row r="26" spans="2:21">
      <c r="B26" s="133" t="s">
        <v>279</v>
      </c>
      <c r="C26" t="s">
        <v>280</v>
      </c>
      <c r="D26" s="136" t="s">
        <v>281</v>
      </c>
      <c r="E26" t="s">
        <v>282</v>
      </c>
      <c r="F26" t="s">
        <v>283</v>
      </c>
      <c r="G26" s="136"/>
      <c r="H26" s="133" t="s">
        <v>279</v>
      </c>
      <c r="I26" t="s">
        <v>280</v>
      </c>
      <c r="J26" s="136" t="s">
        <v>281</v>
      </c>
      <c r="K26" t="s">
        <v>282</v>
      </c>
      <c r="L26" t="s">
        <v>283</v>
      </c>
      <c r="O26" s="133" t="s">
        <v>279</v>
      </c>
      <c r="P26" t="s">
        <v>280</v>
      </c>
      <c r="Q26" s="136" t="s">
        <v>281</v>
      </c>
      <c r="R26" t="s">
        <v>282</v>
      </c>
      <c r="S26" t="s">
        <v>283</v>
      </c>
    </row>
    <row r="27" spans="2:21">
      <c r="B27" s="133">
        <v>10</v>
      </c>
      <c r="C27">
        <f>1-EXP(-1*((B27/(C20+C22*((6-C23)-0.5)))^C21))</f>
        <v>7.9680851629393423E-3</v>
      </c>
      <c r="D27">
        <f xml:space="preserve"> C27*C17</f>
        <v>0.39840425814696712</v>
      </c>
      <c r="E27">
        <f t="shared" ref="E27:E45" si="7">($C$17*$C$24)*C27</f>
        <v>57.768617431310233</v>
      </c>
      <c r="F27" s="9">
        <f>(D27*$C$19)+(E27*$C$18)</f>
        <v>27.912541213930453</v>
      </c>
      <c r="G27" s="9"/>
      <c r="H27" s="133">
        <v>10</v>
      </c>
      <c r="I27">
        <f>1-EXP(-1*((H27/(I20+I22*((6-I23)-0.5)))^I21))</f>
        <v>3.6347074859417461E-3</v>
      </c>
      <c r="J27">
        <f xml:space="preserve"> I27*I17</f>
        <v>0.1817353742970873</v>
      </c>
      <c r="K27">
        <f>($I$17*$I$24)*I27</f>
        <v>26.351629273077659</v>
      </c>
      <c r="L27" s="9">
        <f>(J27*$I$19)+(K27*$I$18)</f>
        <v>12.732534909868516</v>
      </c>
      <c r="O27" s="133">
        <v>10</v>
      </c>
      <c r="P27">
        <f>1-EXP(-1*((O27/(P20+P22*((6-P23)-0.5)))^P21))</f>
        <v>4.0876228335275933E-3</v>
      </c>
      <c r="Q27">
        <f xml:space="preserve"> P27*P17</f>
        <v>0.20438114167637966</v>
      </c>
      <c r="R27">
        <f>($I$17*$I$24)*P27</f>
        <v>29.63526554307505</v>
      </c>
      <c r="S27" s="9">
        <f>(Q27*$I$19)+(R27*$I$18)</f>
        <v>14.319116635263638</v>
      </c>
    </row>
    <row r="28" spans="2:21">
      <c r="B28" s="133">
        <v>15</v>
      </c>
      <c r="C28">
        <f>1-EXP(-1*((B28/(C20+C22*((6-C23)-0.5)))^C21))</f>
        <v>2.6638758475663216E-2</v>
      </c>
      <c r="D28">
        <f xml:space="preserve"> C28*C17</f>
        <v>1.3319379237831608</v>
      </c>
      <c r="E28">
        <f t="shared" si="7"/>
        <v>193.1309989485583</v>
      </c>
      <c r="F28" s="9">
        <f t="shared" ref="F28:F45" si="8">(D28*$C$19)+(E28*$C$18)</f>
        <v>93.316703905006818</v>
      </c>
      <c r="H28" s="133">
        <v>15</v>
      </c>
      <c r="I28">
        <f>1-EXP(-1*((H28/(I20+I22*((6-I23)-0.5)))^I21))</f>
        <v>1.2214278335061612E-2</v>
      </c>
      <c r="J28">
        <f xml:space="preserve"> I28*I17</f>
        <v>0.61071391675308062</v>
      </c>
      <c r="K28">
        <f t="shared" ref="K28:K45" si="9">($I$17*$I$24)*I28</f>
        <v>88.553517929196687</v>
      </c>
      <c r="L28" s="9">
        <f t="shared" ref="L28:L45" si="10">(J28*$I$19)+(K28*$I$18)</f>
        <v>42.787136489397035</v>
      </c>
      <c r="O28" s="133">
        <v>15</v>
      </c>
      <c r="P28">
        <f>1-EXP(-1*((O28/(P20+P22*((6-P23)-0.5)))^P21))</f>
        <v>1.372888729577304E-2</v>
      </c>
      <c r="Q28">
        <f xml:space="preserve"> P28*P17</f>
        <v>0.68644436478865201</v>
      </c>
      <c r="R28">
        <f t="shared" ref="R28:R45" si="11">($I$17*$I$24)*P28</f>
        <v>99.534432894354538</v>
      </c>
      <c r="S28" s="9">
        <f t="shared" ref="S28:S45" si="12">(Q28*$I$19)+(R28*$I$18)</f>
        <v>48.092876096132208</v>
      </c>
    </row>
    <row r="29" spans="2:21">
      <c r="B29" s="133">
        <v>20</v>
      </c>
      <c r="C29">
        <f>1-EXP(-1*((B29/(C20+C22*((6-C23)-0.5)))^C21))</f>
        <v>6.1995000469270534E-2</v>
      </c>
      <c r="D29">
        <f xml:space="preserve"> C29*C17</f>
        <v>3.0997500234635265</v>
      </c>
      <c r="E29">
        <f t="shared" si="7"/>
        <v>449.46375340221135</v>
      </c>
      <c r="F29" s="9">
        <f t="shared" si="8"/>
        <v>217.17112333395431</v>
      </c>
      <c r="H29" s="133">
        <v>20</v>
      </c>
      <c r="I29">
        <f>1-EXP(-1*((H29/(I20+I22*((6-I23)-0.5)))^I21))</f>
        <v>2.8710425982246379E-2</v>
      </c>
      <c r="J29">
        <f xml:space="preserve"> I29*I17</f>
        <v>1.435521299112319</v>
      </c>
      <c r="K29">
        <f t="shared" si="9"/>
        <v>208.15058837128626</v>
      </c>
      <c r="L29" s="9">
        <f t="shared" si="10"/>
        <v>100.57384329001459</v>
      </c>
      <c r="O29" s="133">
        <v>20</v>
      </c>
      <c r="P29">
        <f>1-EXP(-1*((O29/(P20+P22*((6-P23)-0.5)))^P21))</f>
        <v>3.2236945424731878E-2</v>
      </c>
      <c r="Q29">
        <f xml:space="preserve"> P29*P17</f>
        <v>1.6118472712365939</v>
      </c>
      <c r="R29">
        <f t="shared" si="11"/>
        <v>233.71785432930611</v>
      </c>
      <c r="S29" s="9">
        <f t="shared" si="12"/>
        <v>112.9273908823438</v>
      </c>
    </row>
    <row r="30" spans="2:21">
      <c r="B30" s="133">
        <v>25</v>
      </c>
      <c r="C30">
        <f>1-EXP(-1*((B30/(C20+C22*((6-C23)-0.5)))^C21))</f>
        <v>0.11750309741540454</v>
      </c>
      <c r="D30">
        <f xml:space="preserve"> C30*C17</f>
        <v>5.8751548707702277</v>
      </c>
      <c r="E30">
        <f t="shared" si="7"/>
        <v>851.89745626168292</v>
      </c>
      <c r="F30" s="9">
        <f t="shared" si="8"/>
        <v>411.61834773388352</v>
      </c>
      <c r="H30" s="133">
        <v>25</v>
      </c>
      <c r="I30">
        <f>1-EXP(-1*((H30/(I20+I22*((6-I23)-0.5)))^I21))</f>
        <v>5.5307467585817061E-2</v>
      </c>
      <c r="J30">
        <f xml:space="preserve"> I30*I17</f>
        <v>2.7653733792908533</v>
      </c>
      <c r="K30">
        <f t="shared" si="9"/>
        <v>400.97913999717366</v>
      </c>
      <c r="L30" s="9">
        <f t="shared" si="10"/>
        <v>193.74441121783394</v>
      </c>
      <c r="O30" s="133">
        <v>25</v>
      </c>
      <c r="P30">
        <f>1-EXP(-1*((O30/(P20+P22*((6-P23)-0.5)))^P21))</f>
        <v>6.1995000469270534E-2</v>
      </c>
      <c r="Q30">
        <f xml:space="preserve"> P30*P17</f>
        <v>3.0997500234635265</v>
      </c>
      <c r="R30">
        <f t="shared" si="11"/>
        <v>449.46375340221135</v>
      </c>
      <c r="S30" s="9">
        <f t="shared" si="12"/>
        <v>217.17112333395431</v>
      </c>
    </row>
    <row r="31" spans="2:21">
      <c r="B31" s="133">
        <v>30</v>
      </c>
      <c r="C31">
        <f>1-EXP(-1*((B31/(C20+C22*((6-C23)-0.5)))^C21))</f>
        <v>0.19426469812652036</v>
      </c>
      <c r="D31">
        <f xml:space="preserve"> C31*C17</f>
        <v>9.7132349063260186</v>
      </c>
      <c r="E31">
        <f t="shared" si="7"/>
        <v>1408.4190614172726</v>
      </c>
      <c r="F31" s="9">
        <f t="shared" si="8"/>
        <v>680.51749974870791</v>
      </c>
      <c r="H31" s="133">
        <v>30</v>
      </c>
      <c r="I31">
        <f>1-EXP(-1*((H31/(I20+I22*((6-I23)-0.5)))^I21))</f>
        <v>9.3637448075796437E-2</v>
      </c>
      <c r="J31">
        <f xml:space="preserve"> I31*I17</f>
        <v>4.6818724037898214</v>
      </c>
      <c r="K31">
        <f t="shared" si="9"/>
        <v>678.87149854952418</v>
      </c>
      <c r="L31" s="9">
        <f t="shared" si="10"/>
        <v>328.01596307472062</v>
      </c>
      <c r="O31" s="133">
        <v>30</v>
      </c>
      <c r="P31">
        <f>1-EXP(-1*((O31/(P20+P22*((6-P23)-0.5)))^P21))</f>
        <v>0.10469604156373269</v>
      </c>
      <c r="Q31">
        <f xml:space="preserve"> P31*P17</f>
        <v>5.2348020781866342</v>
      </c>
      <c r="R31">
        <f t="shared" si="11"/>
        <v>759.046301337062</v>
      </c>
      <c r="S31" s="9">
        <f t="shared" si="12"/>
        <v>366.75468639256445</v>
      </c>
    </row>
    <row r="32" spans="2:21">
      <c r="B32" s="133">
        <v>35</v>
      </c>
      <c r="C32">
        <f>1-EXP(-1*((B32/(C20+C22*((6-C23)-0.5)))^C21))</f>
        <v>0.29036178843979132</v>
      </c>
      <c r="D32">
        <f xml:space="preserve"> C32*C17</f>
        <v>14.518089421989567</v>
      </c>
      <c r="E32">
        <f t="shared" si="7"/>
        <v>2105.1229661884872</v>
      </c>
      <c r="F32" s="9">
        <f t="shared" si="8"/>
        <v>1017.1496941915816</v>
      </c>
      <c r="H32" s="133">
        <v>35</v>
      </c>
      <c r="I32">
        <f>1-EXP(-1*((H32/(I20+I22*((6-I23)-0.5)))^I21))</f>
        <v>0.14454516824467589</v>
      </c>
      <c r="J32">
        <f xml:space="preserve"> I32*I17</f>
        <v>7.2272584122337946</v>
      </c>
      <c r="K32">
        <f t="shared" si="9"/>
        <v>1047.9524697739002</v>
      </c>
      <c r="L32" s="9">
        <f t="shared" si="10"/>
        <v>506.34787196673199</v>
      </c>
      <c r="O32" s="133">
        <v>35</v>
      </c>
      <c r="P32">
        <f>1-EXP(-1*((O32/(P20+P22*((6-P23)-0.5)))^P21))</f>
        <v>0.16105992551978299</v>
      </c>
      <c r="Q32">
        <f xml:space="preserve"> P32*P17</f>
        <v>8.05299627598915</v>
      </c>
      <c r="R32">
        <f t="shared" si="11"/>
        <v>1167.6844600184268</v>
      </c>
      <c r="S32" s="9">
        <f t="shared" si="12"/>
        <v>564.19976908544186</v>
      </c>
    </row>
    <row r="33" spans="2:19">
      <c r="B33" s="133">
        <v>40</v>
      </c>
      <c r="C33">
        <f>1-EXP(-1*((B33/(C20+C22*((6-C23)-0.5)))^C21))</f>
        <v>0.40070421215446161</v>
      </c>
      <c r="D33">
        <f xml:space="preserve"> C33*C17</f>
        <v>20.03521060772308</v>
      </c>
      <c r="E33">
        <f t="shared" si="7"/>
        <v>2905.1055381198466</v>
      </c>
      <c r="F33" s="9">
        <f t="shared" si="8"/>
        <v>1403.6838974034049</v>
      </c>
      <c r="H33" s="133">
        <v>40</v>
      </c>
      <c r="I33">
        <f>1-EXP(-1*((H33/(I20+I22*((6-I23)-0.5)))^I21))</f>
        <v>0.20788212125805927</v>
      </c>
      <c r="J33">
        <f xml:space="preserve"> I33*I17</f>
        <v>10.394106062902964</v>
      </c>
      <c r="K33">
        <f t="shared" si="9"/>
        <v>1507.1453791209296</v>
      </c>
      <c r="L33" s="9">
        <f t="shared" si="10"/>
        <v>728.21991213688034</v>
      </c>
      <c r="O33" s="133">
        <v>40</v>
      </c>
      <c r="P33">
        <f>1-EXP(-1*((O33/(P20+P22*((6-P23)-0.5)))^P21))</f>
        <v>0.23059977790193076</v>
      </c>
      <c r="Q33">
        <f xml:space="preserve"> P33*P17</f>
        <v>11.529988895096539</v>
      </c>
      <c r="R33">
        <f t="shared" si="11"/>
        <v>1671.848389788998</v>
      </c>
      <c r="S33" s="9">
        <f t="shared" si="12"/>
        <v>807.80082955795729</v>
      </c>
    </row>
    <row r="34" spans="2:19">
      <c r="B34" s="133">
        <v>45</v>
      </c>
      <c r="C34">
        <f>1-EXP(-1*((B34/(C20+C22*((6-C23)-0.5)))^C21))</f>
        <v>0.51760885988487404</v>
      </c>
      <c r="D34">
        <f xml:space="preserve"> C34*C17</f>
        <v>25.880442994243701</v>
      </c>
      <c r="E34">
        <f t="shared" si="7"/>
        <v>3752.6642341653369</v>
      </c>
      <c r="F34" s="9">
        <f t="shared" si="8"/>
        <v>1813.2058504382835</v>
      </c>
      <c r="H34" s="133">
        <v>45</v>
      </c>
      <c r="I34">
        <f>1-EXP(-1*((H34/(I20+I22*((6-I23)-0.5)))^I21))</f>
        <v>0.28238072833751138</v>
      </c>
      <c r="J34">
        <f xml:space="preserve"> I34*I17</f>
        <v>14.119036416875568</v>
      </c>
      <c r="K34">
        <f t="shared" si="9"/>
        <v>2047.2602804469575</v>
      </c>
      <c r="L34" s="9">
        <f t="shared" si="10"/>
        <v>989.19170121330785</v>
      </c>
      <c r="O34" s="133">
        <v>45</v>
      </c>
      <c r="P34">
        <f>1-EXP(-1*((O34/(P20+P22*((6-P23)-0.5)))^P21))</f>
        <v>0.31150553495770683</v>
      </c>
      <c r="Q34">
        <f xml:space="preserve"> P34*P17</f>
        <v>15.575276747885342</v>
      </c>
      <c r="R34">
        <f t="shared" si="11"/>
        <v>2258.4151284433747</v>
      </c>
      <c r="S34" s="9">
        <f t="shared" si="12"/>
        <v>1091.2171375019523</v>
      </c>
    </row>
    <row r="35" spans="2:19">
      <c r="B35" s="133">
        <v>50</v>
      </c>
      <c r="C35">
        <f>1-EXP(-1*((B35/(C20+C22*((6-C23)-0.5)))^C21))</f>
        <v>0.63212055882855767</v>
      </c>
      <c r="D35">
        <f xml:space="preserve"> C35*C17</f>
        <v>31.606027941427882</v>
      </c>
      <c r="E35">
        <f t="shared" si="7"/>
        <v>4582.8740515070431</v>
      </c>
      <c r="F35" s="9">
        <f t="shared" si="8"/>
        <v>2214.3452020994901</v>
      </c>
      <c r="H35" s="133">
        <v>50</v>
      </c>
      <c r="I35">
        <f>1-EXP(-1*((H35/(I20+I22*((6-I23)-0.5)))^I21))</f>
        <v>0.3656574277154313</v>
      </c>
      <c r="J35">
        <f xml:space="preserve"> I35*I17</f>
        <v>18.282871385771564</v>
      </c>
      <c r="K35">
        <f t="shared" si="9"/>
        <v>2651.0163509368767</v>
      </c>
      <c r="L35" s="9">
        <f t="shared" si="10"/>
        <v>1280.9135209495837</v>
      </c>
      <c r="O35" s="133">
        <v>50</v>
      </c>
      <c r="P35">
        <f>1-EXP(-1*((O35/(P20+P22*((6-P23)-0.5)))^P21))</f>
        <v>0.40070421215446161</v>
      </c>
      <c r="Q35">
        <f xml:space="preserve"> P35*P17</f>
        <v>20.03521060772308</v>
      </c>
      <c r="R35">
        <f t="shared" si="11"/>
        <v>2905.1055381198466</v>
      </c>
      <c r="S35" s="9">
        <f t="shared" si="12"/>
        <v>1403.6838974034049</v>
      </c>
    </row>
    <row r="36" spans="2:19">
      <c r="B36" s="133">
        <v>55</v>
      </c>
      <c r="C36">
        <f>1-EXP(-1*((B36/(C20+C22*((6-C23)-0.5)))^C21))</f>
        <v>0.73578708376691382</v>
      </c>
      <c r="D36">
        <f xml:space="preserve"> C36*C17</f>
        <v>36.78935418834569</v>
      </c>
      <c r="E36">
        <f t="shared" si="7"/>
        <v>5334.456357310125</v>
      </c>
      <c r="F36" s="9">
        <f t="shared" si="8"/>
        <v>2577.4934479673084</v>
      </c>
      <c r="H36" s="133">
        <v>55</v>
      </c>
      <c r="I36">
        <f>1-EXP(-1*((H36/(I20+I22*((6-I23)-0.5)))^I21))</f>
        <v>0.45437651364235676</v>
      </c>
      <c r="J36">
        <f xml:space="preserve"> I36*I17</f>
        <v>22.718825682117838</v>
      </c>
      <c r="K36">
        <f t="shared" si="9"/>
        <v>3294.2297239070867</v>
      </c>
      <c r="L36" s="9">
        <f t="shared" si="10"/>
        <v>1591.7002522354774</v>
      </c>
      <c r="O36" s="133">
        <v>55</v>
      </c>
      <c r="P36">
        <f>1-EXP(-1*((O36/(P20+P22*((6-P23)-0.5)))^P21))</f>
        <v>0.49412819925158646</v>
      </c>
      <c r="Q36">
        <f xml:space="preserve"> P36*P17</f>
        <v>24.706409962579322</v>
      </c>
      <c r="R36">
        <f t="shared" si="11"/>
        <v>3582.429444574002</v>
      </c>
      <c r="S36" s="9">
        <f t="shared" si="12"/>
        <v>1730.9520975911967</v>
      </c>
    </row>
    <row r="37" spans="2:19">
      <c r="B37" s="133">
        <v>60</v>
      </c>
      <c r="C37">
        <f>1-EXP(-1*((B37/(C20+C22*((6-C23)-0.5)))^C21))</f>
        <v>0.82236066640486505</v>
      </c>
      <c r="D37">
        <f xml:space="preserve"> C37*C17</f>
        <v>41.118033320243249</v>
      </c>
      <c r="E37">
        <f t="shared" si="7"/>
        <v>5962.1148314352713</v>
      </c>
      <c r="F37" s="9">
        <f t="shared" si="8"/>
        <v>2880.7643899821915</v>
      </c>
      <c r="H37" s="133">
        <v>60</v>
      </c>
      <c r="I37">
        <f>1-EXP(-1*((H37/(I20+I22*((6-I23)-0.5)))^I21))</f>
        <v>0.54457629901590421</v>
      </c>
      <c r="J37">
        <f xml:space="preserve"> I37*I17</f>
        <v>27.228814950795211</v>
      </c>
      <c r="K37">
        <f t="shared" si="9"/>
        <v>3948.1781678653056</v>
      </c>
      <c r="L37" s="9">
        <f t="shared" si="10"/>
        <v>1907.6739366580557</v>
      </c>
      <c r="O37" s="133">
        <v>60</v>
      </c>
      <c r="P37">
        <f>1-EXP(-1*((O37/(P20+P22*((6-P23)-0.5)))^P21))</f>
        <v>0.58717685579567536</v>
      </c>
      <c r="Q37">
        <f xml:space="preserve"> P37*P17</f>
        <v>29.358842789783768</v>
      </c>
      <c r="R37">
        <f t="shared" si="11"/>
        <v>4257.0322045186467</v>
      </c>
      <c r="S37" s="9">
        <f t="shared" si="12"/>
        <v>2056.905498888636</v>
      </c>
    </row>
    <row r="38" spans="2:19">
      <c r="B38" s="133">
        <v>65</v>
      </c>
      <c r="C38">
        <f>1-EXP(-1*((B38/(C20+C22*((6-C23)-0.5)))^C21))</f>
        <v>0.88886393304937816</v>
      </c>
      <c r="D38">
        <f xml:space="preserve"> C38*C17</f>
        <v>44.443196652468906</v>
      </c>
      <c r="E38">
        <f t="shared" si="7"/>
        <v>6444.263514607992</v>
      </c>
      <c r="F38" s="9">
        <f t="shared" si="8"/>
        <v>3113.7281614676886</v>
      </c>
      <c r="H38" s="133">
        <v>65</v>
      </c>
      <c r="I38">
        <f>1-EXP(-1*((H38/(I20+I22*((6-I23)-0.5)))^I21))</f>
        <v>0.63212055882855767</v>
      </c>
      <c r="J38">
        <f xml:space="preserve"> I38*I17</f>
        <v>31.606027941427882</v>
      </c>
      <c r="K38">
        <f t="shared" si="9"/>
        <v>4582.8740515070431</v>
      </c>
      <c r="L38" s="9">
        <f t="shared" si="10"/>
        <v>2214.3452020994901</v>
      </c>
      <c r="O38" s="133">
        <v>65</v>
      </c>
      <c r="P38">
        <f>1-EXP(-1*((O38/(P20+P22*((6-P23)-0.5)))^P21))</f>
        <v>0.67530337690356745</v>
      </c>
      <c r="Q38">
        <f xml:space="preserve"> P38*P17</f>
        <v>33.765168845178373</v>
      </c>
      <c r="R38">
        <f t="shared" si="11"/>
        <v>4895.9494825508636</v>
      </c>
      <c r="S38" s="9">
        <f t="shared" si="12"/>
        <v>2365.6164504112653</v>
      </c>
    </row>
    <row r="39" spans="2:19">
      <c r="B39" s="133">
        <v>70</v>
      </c>
      <c r="C39">
        <f>1-EXP(-1*((B39/(C20+C22*((6-C23)-0.5)))^C21))</f>
        <v>0.93568741861969118</v>
      </c>
      <c r="D39">
        <f xml:space="preserve"> C39*C17</f>
        <v>46.784370930984558</v>
      </c>
      <c r="E39">
        <f t="shared" si="7"/>
        <v>6783.7337849927608</v>
      </c>
      <c r="F39" s="9">
        <f t="shared" si="8"/>
        <v>3277.7528228556089</v>
      </c>
      <c r="H39" s="133">
        <v>70</v>
      </c>
      <c r="I39">
        <f>1-EXP(-1*((H39/(I20+I22*((6-I23)-0.5)))^I21))</f>
        <v>0.71320163645838952</v>
      </c>
      <c r="J39">
        <f xml:space="preserve"> I39*I17</f>
        <v>35.660081822919473</v>
      </c>
      <c r="K39">
        <f t="shared" si="9"/>
        <v>5170.7118643233243</v>
      </c>
      <c r="L39" s="9">
        <f t="shared" si="10"/>
        <v>2498.3756654709073</v>
      </c>
      <c r="O39" s="133">
        <v>70</v>
      </c>
      <c r="P39">
        <f>1-EXP(-1*((O39/(P20+P22*((6-P23)-0.5)))^P21))</f>
        <v>0.75461527648300253</v>
      </c>
      <c r="Q39">
        <f xml:space="preserve"> P39*P17</f>
        <v>37.730763824150124</v>
      </c>
      <c r="R39">
        <f t="shared" si="11"/>
        <v>5470.960754501768</v>
      </c>
      <c r="S39" s="9">
        <f t="shared" si="12"/>
        <v>2643.4494078277808</v>
      </c>
    </row>
    <row r="40" spans="2:19">
      <c r="B40" s="133">
        <v>75</v>
      </c>
      <c r="C40">
        <f>1-EXP(-1*((B40/(C20+C22*((6-C23)-0.5)))^C21))</f>
        <v>0.96578188168833401</v>
      </c>
      <c r="D40">
        <f xml:space="preserve"> C40*C17</f>
        <v>48.289094084416703</v>
      </c>
      <c r="E40">
        <f t="shared" si="7"/>
        <v>7001.9186422404218</v>
      </c>
      <c r="F40" s="9">
        <f t="shared" si="8"/>
        <v>3383.1750069233221</v>
      </c>
      <c r="H40" s="133">
        <v>75</v>
      </c>
      <c r="I40">
        <f>1-EXP(-1*((H40/(I20+I22*((6-I23)-0.5)))^I21))</f>
        <v>0.78479962492518995</v>
      </c>
      <c r="J40">
        <f xml:space="preserve"> I40*I17</f>
        <v>39.239981246259497</v>
      </c>
      <c r="K40">
        <f t="shared" si="9"/>
        <v>5689.7972807076276</v>
      </c>
      <c r="L40" s="9">
        <f t="shared" si="10"/>
        <v>2749.1864641819075</v>
      </c>
      <c r="O40" s="133">
        <v>75</v>
      </c>
      <c r="P40">
        <f>1-EXP(-1*((O40/(P20+P22*((6-P23)-0.5)))^P21))</f>
        <v>0.82236066640486505</v>
      </c>
      <c r="Q40">
        <f xml:space="preserve"> P40*P17</f>
        <v>41.118033320243249</v>
      </c>
      <c r="R40">
        <f t="shared" si="11"/>
        <v>5962.1148314352713</v>
      </c>
      <c r="S40" s="9">
        <f t="shared" si="12"/>
        <v>2880.7643899821915</v>
      </c>
    </row>
    <row r="41" spans="2:19">
      <c r="B41" s="133">
        <v>80</v>
      </c>
      <c r="C41">
        <f>1-EXP(-1*((B41/(C20+C22*((6-C23)-0.5)))^C21))</f>
        <v>0.98336090113827634</v>
      </c>
      <c r="D41">
        <f xml:space="preserve"> C41*C17</f>
        <v>49.168045056913819</v>
      </c>
      <c r="E41">
        <f t="shared" si="7"/>
        <v>7129.3665332525034</v>
      </c>
      <c r="F41" s="9">
        <f t="shared" si="8"/>
        <v>3444.7550597042832</v>
      </c>
      <c r="H41" s="133">
        <v>80</v>
      </c>
      <c r="I41">
        <f>1-EXP(-1*((H41/(I20+I22*((6-I23)-0.5)))^I21))</f>
        <v>0.84500470100377312</v>
      </c>
      <c r="J41">
        <f xml:space="preserve"> I41*I17</f>
        <v>42.250235050188657</v>
      </c>
      <c r="K41">
        <f t="shared" si="9"/>
        <v>6126.2840822773551</v>
      </c>
      <c r="L41" s="9">
        <f t="shared" si="10"/>
        <v>2960.0874062485655</v>
      </c>
      <c r="O41" s="133">
        <v>80</v>
      </c>
      <c r="P41">
        <f>1-EXP(-1*((O41/(P20+P22*((6-P23)-0.5)))^P21))</f>
        <v>0.87719431873913933</v>
      </c>
      <c r="Q41">
        <f xml:space="preserve"> P41*P17</f>
        <v>43.859715936956967</v>
      </c>
      <c r="R41">
        <f t="shared" si="11"/>
        <v>6359.6588108587603</v>
      </c>
      <c r="S41" s="9">
        <f t="shared" si="12"/>
        <v>3072.8490062221817</v>
      </c>
    </row>
    <row r="42" spans="2:19">
      <c r="B42" s="133">
        <v>85</v>
      </c>
      <c r="C42">
        <f>1-EXP(-1*((B42/(C20+C22*((6-C23)-0.5)))^C21))</f>
        <v>0.99264959599057989</v>
      </c>
      <c r="D42">
        <f xml:space="preserve"> C42*C17</f>
        <v>49.632479799528994</v>
      </c>
      <c r="E42">
        <f t="shared" si="7"/>
        <v>7196.7095709317045</v>
      </c>
      <c r="F42" s="9">
        <f t="shared" si="8"/>
        <v>3477.293752826497</v>
      </c>
      <c r="H42" s="133">
        <v>85</v>
      </c>
      <c r="I42">
        <f>1-EXP(-1*((H42/(I20+I22*((6-I23)-0.5)))^I21))</f>
        <v>0.89313952040530165</v>
      </c>
      <c r="J42">
        <f xml:space="preserve"> I42*I17</f>
        <v>44.656976020265084</v>
      </c>
      <c r="K42">
        <f t="shared" si="9"/>
        <v>6475.2615229384373</v>
      </c>
      <c r="L42" s="9">
        <f t="shared" si="10"/>
        <v>3128.7057258191658</v>
      </c>
      <c r="O42" s="133">
        <v>85</v>
      </c>
      <c r="P42">
        <f>1-EXP(-1*((O42/(P20+P22*((6-P23)-0.5)))^P21))</f>
        <v>0.91917395287538517</v>
      </c>
      <c r="Q42">
        <f xml:space="preserve"> P42*P17</f>
        <v>45.958697643769256</v>
      </c>
      <c r="R42">
        <f t="shared" si="11"/>
        <v>6664.0111583465423</v>
      </c>
      <c r="S42" s="9">
        <f t="shared" si="12"/>
        <v>3219.9054500242255</v>
      </c>
    </row>
    <row r="43" spans="2:19">
      <c r="B43" s="133">
        <v>90</v>
      </c>
      <c r="C43">
        <f>1-EXP(-1*((B43/(C20+C22*((6-C23)-0.5)))^C21))</f>
        <v>0.99706779330149842</v>
      </c>
      <c r="D43">
        <f xml:space="preserve"> C43*C17</f>
        <v>49.853389665074921</v>
      </c>
      <c r="E43">
        <f t="shared" si="7"/>
        <v>7228.7415014358639</v>
      </c>
      <c r="F43" s="9">
        <f t="shared" si="8"/>
        <v>3492.7708859156214</v>
      </c>
      <c r="H43" s="133">
        <v>90</v>
      </c>
      <c r="I43">
        <f>1-EXP(-1*((H43/(I20+I22*((6-I23)-0.5)))^I21))</f>
        <v>0.92966803596424274</v>
      </c>
      <c r="J43">
        <f xml:space="preserve"> I43*I17</f>
        <v>46.483401798212135</v>
      </c>
      <c r="K43">
        <f t="shared" si="9"/>
        <v>6740.0932607407603</v>
      </c>
      <c r="L43" s="9">
        <f t="shared" si="10"/>
        <v>3256.6666694050805</v>
      </c>
      <c r="O43" s="133">
        <v>90</v>
      </c>
      <c r="P43">
        <f>1-EXP(-1*((O43/(P20+P22*((6-P23)-0.5)))^P21))</f>
        <v>0.94951020286279231</v>
      </c>
      <c r="Q43">
        <f xml:space="preserve"> P43*P17</f>
        <v>47.475510143139616</v>
      </c>
      <c r="R43">
        <f t="shared" si="11"/>
        <v>6883.9489707552439</v>
      </c>
      <c r="S43" s="9">
        <f t="shared" si="12"/>
        <v>3326.1746239517333</v>
      </c>
    </row>
    <row r="44" spans="2:19">
      <c r="B44" s="133">
        <v>95</v>
      </c>
      <c r="C44">
        <f>1-EXP(-1*((B44/(C20+C22*((6-C23)-0.5)))^C21))</f>
        <v>0.99895003662880777</v>
      </c>
      <c r="D44">
        <f xml:space="preserve"> C44*C17</f>
        <v>49.947501831440391</v>
      </c>
      <c r="E44">
        <f t="shared" si="7"/>
        <v>7242.3877655588567</v>
      </c>
      <c r="F44" s="9">
        <f t="shared" si="8"/>
        <v>3499.3644643442922</v>
      </c>
      <c r="H44" s="133">
        <v>95</v>
      </c>
      <c r="I44">
        <f>1-EXP(-1*((H44/(I20+I22*((6-I23)-0.5)))^I21))</f>
        <v>0.95593037566091299</v>
      </c>
      <c r="J44">
        <f xml:space="preserve"> I44*I17</f>
        <v>47.796518783045649</v>
      </c>
      <c r="K44">
        <f t="shared" si="9"/>
        <v>6930.4952235416195</v>
      </c>
      <c r="L44" s="9">
        <f t="shared" si="10"/>
        <v>3348.6647623179247</v>
      </c>
      <c r="O44" s="133">
        <v>95</v>
      </c>
      <c r="P44">
        <f>1-EXP(-1*((O44/(P20+P22*((6-P23)-0.5)))^P21))</f>
        <v>0.97015709034933773</v>
      </c>
      <c r="Q44">
        <f xml:space="preserve"> P44*P17</f>
        <v>48.507854517466889</v>
      </c>
      <c r="R44">
        <f t="shared" si="11"/>
        <v>7033.6389050326989</v>
      </c>
      <c r="S44" s="9">
        <f t="shared" si="12"/>
        <v>3398.5015489434581</v>
      </c>
    </row>
    <row r="45" spans="2:19">
      <c r="B45" s="133">
        <v>100</v>
      </c>
      <c r="C45">
        <f>1-EXP(-1*((B45/(C20+C22*((6-C23)-0.5)))^C21))</f>
        <v>0.99966453737209748</v>
      </c>
      <c r="D45">
        <f xml:space="preserve"> C45*C17</f>
        <v>49.983226868604874</v>
      </c>
      <c r="E45">
        <f t="shared" si="7"/>
        <v>7247.5678959477063</v>
      </c>
      <c r="F45" s="9">
        <f t="shared" si="8"/>
        <v>3501.8673908362448</v>
      </c>
      <c r="H45" s="133">
        <v>100</v>
      </c>
      <c r="I45">
        <f>1-EXP(-1*((H45/(I20+I22*((6-I23)-0.5)))^I21))</f>
        <v>0.97378252445725488</v>
      </c>
      <c r="J45">
        <f xml:space="preserve"> I45*I17</f>
        <v>48.689126222862747</v>
      </c>
      <c r="K45">
        <f t="shared" si="9"/>
        <v>7059.9233023150982</v>
      </c>
      <c r="L45" s="9">
        <f t="shared" si="10"/>
        <v>3411.2015988157032</v>
      </c>
      <c r="O45" s="133">
        <v>100</v>
      </c>
      <c r="P45">
        <f>1-EXP(-1*((O45/(P20+P22*((6-P23)-0.5)))^P21))</f>
        <v>0.98336090113827634</v>
      </c>
      <c r="Q45">
        <f xml:space="preserve"> P45*P17</f>
        <v>49.168045056913819</v>
      </c>
      <c r="R45">
        <f t="shared" si="11"/>
        <v>7129.3665332525034</v>
      </c>
      <c r="S45" s="9">
        <f t="shared" si="12"/>
        <v>3444.7550597042832</v>
      </c>
    </row>
    <row r="49" spans="3:4" ht="29.1">
      <c r="C49" s="137" t="s">
        <v>284</v>
      </c>
      <c r="D49" s="138" t="s">
        <v>285</v>
      </c>
    </row>
    <row r="50" spans="3:4">
      <c r="C50" s="139">
        <v>0</v>
      </c>
      <c r="D50" s="138">
        <v>20</v>
      </c>
    </row>
    <row r="51" spans="3:4">
      <c r="C51" s="140" t="s">
        <v>286</v>
      </c>
      <c r="D51" s="141">
        <v>15</v>
      </c>
    </row>
    <row r="52" spans="3:4">
      <c r="C52" s="140" t="s">
        <v>287</v>
      </c>
      <c r="D52" s="141">
        <v>10</v>
      </c>
    </row>
    <row r="53" spans="3:4">
      <c r="C53" s="140" t="s">
        <v>288</v>
      </c>
      <c r="D53" s="141">
        <v>5</v>
      </c>
    </row>
    <row r="54" spans="3:4">
      <c r="C54" s="138" t="s">
        <v>289</v>
      </c>
      <c r="D54" s="141">
        <v>0</v>
      </c>
    </row>
    <row r="55" spans="3:4">
      <c r="D55" s="136"/>
    </row>
    <row r="56" spans="3:4">
      <c r="D56" s="136"/>
    </row>
    <row r="57" spans="3:4">
      <c r="D57" s="136"/>
    </row>
    <row r="58" spans="3:4">
      <c r="D58" s="136"/>
    </row>
    <row r="59" spans="3:4">
      <c r="D59" s="136"/>
    </row>
    <row r="60" spans="3:4">
      <c r="D60" s="136"/>
    </row>
    <row r="61" spans="3:4">
      <c r="D61" s="136"/>
    </row>
    <row r="62" spans="3:4">
      <c r="D62" s="136"/>
    </row>
    <row r="63" spans="3:4">
      <c r="D63" s="136"/>
    </row>
    <row r="64" spans="3:4">
      <c r="D64" s="136"/>
    </row>
    <row r="65" spans="4:4">
      <c r="D65" s="136"/>
    </row>
    <row r="66" spans="4:4">
      <c r="D66" s="136"/>
    </row>
    <row r="67" spans="4:4">
      <c r="D67" s="136"/>
    </row>
    <row r="68" spans="4:4">
      <c r="D68" s="136"/>
    </row>
  </sheetData>
  <mergeCells count="3">
    <mergeCell ref="B16:D16"/>
    <mergeCell ref="H16:J16"/>
    <mergeCell ref="O16:Q16"/>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topLeftCell="A7" zoomScale="85" zoomScaleNormal="85" workbookViewId="0">
      <selection activeCell="A8" sqref="A8:A11"/>
    </sheetView>
  </sheetViews>
  <sheetFormatPr defaultRowHeight="14.45"/>
  <cols>
    <col min="1" max="1" width="23.140625" customWidth="1"/>
    <col min="3" max="3" width="32.140625" customWidth="1"/>
    <col min="4" max="4" width="37.42578125" customWidth="1"/>
    <col min="5" max="5" width="23.140625" customWidth="1"/>
    <col min="6" max="6" width="63.28515625" customWidth="1"/>
    <col min="7" max="7" width="22.140625" customWidth="1"/>
  </cols>
  <sheetData>
    <row r="1" spans="1:10" ht="29.1">
      <c r="A1" s="1" t="s">
        <v>100</v>
      </c>
      <c r="B1" s="1" t="s">
        <v>101</v>
      </c>
      <c r="C1" s="1" t="s">
        <v>102</v>
      </c>
      <c r="D1" s="2" t="s">
        <v>103</v>
      </c>
      <c r="E1" s="20" t="s">
        <v>104</v>
      </c>
      <c r="F1" s="20" t="s">
        <v>105</v>
      </c>
      <c r="G1" s="34" t="s">
        <v>106</v>
      </c>
      <c r="H1" s="34" t="s">
        <v>107</v>
      </c>
    </row>
    <row r="2" spans="1:10" ht="29.1">
      <c r="A2" s="155" t="s">
        <v>108</v>
      </c>
      <c r="B2" s="3">
        <v>2.1</v>
      </c>
      <c r="C2" s="3" t="s">
        <v>109</v>
      </c>
      <c r="D2" s="4" t="s">
        <v>110</v>
      </c>
      <c r="E2" s="4" t="s">
        <v>111</v>
      </c>
      <c r="F2" s="4" t="s">
        <v>112</v>
      </c>
      <c r="G2" s="106" t="s">
        <v>113</v>
      </c>
      <c r="H2" s="10" t="s">
        <v>114</v>
      </c>
    </row>
    <row r="3" spans="1:10">
      <c r="A3" s="156"/>
      <c r="B3" s="3">
        <v>2.2000000000000002</v>
      </c>
      <c r="C3" s="3" t="s">
        <v>115</v>
      </c>
      <c r="D3" s="4"/>
      <c r="E3" s="4" t="s">
        <v>111</v>
      </c>
      <c r="F3" s="4" t="s">
        <v>116</v>
      </c>
      <c r="G3" s="106" t="s">
        <v>113</v>
      </c>
      <c r="H3" s="10" t="s">
        <v>114</v>
      </c>
      <c r="I3" s="142"/>
    </row>
    <row r="4" spans="1:10" ht="29.1">
      <c r="A4" s="157"/>
      <c r="B4" s="3">
        <v>2.2999999999999998</v>
      </c>
      <c r="C4" s="3" t="s">
        <v>117</v>
      </c>
      <c r="D4" s="4" t="s">
        <v>118</v>
      </c>
      <c r="E4" s="4" t="s">
        <v>111</v>
      </c>
      <c r="F4" s="4" t="s">
        <v>119</v>
      </c>
      <c r="G4" s="106" t="s">
        <v>113</v>
      </c>
      <c r="H4" s="10" t="s">
        <v>114</v>
      </c>
    </row>
    <row r="5" spans="1:10" ht="29.1">
      <c r="A5" s="158" t="s">
        <v>120</v>
      </c>
      <c r="B5" s="16">
        <v>3.1</v>
      </c>
      <c r="C5" s="16" t="s">
        <v>121</v>
      </c>
      <c r="D5" s="6" t="s">
        <v>122</v>
      </c>
      <c r="E5" s="6" t="s">
        <v>123</v>
      </c>
      <c r="F5" s="16" t="s">
        <v>124</v>
      </c>
      <c r="G5" s="106" t="s">
        <v>113</v>
      </c>
      <c r="H5" s="10" t="s">
        <v>114</v>
      </c>
      <c r="I5" s="107"/>
      <c r="J5" s="27"/>
    </row>
    <row r="6" spans="1:10">
      <c r="A6" s="158"/>
      <c r="B6" s="16">
        <v>3.2</v>
      </c>
      <c r="C6" s="16" t="s">
        <v>125</v>
      </c>
      <c r="D6" s="6" t="s">
        <v>126</v>
      </c>
      <c r="E6" s="6"/>
      <c r="F6" s="16" t="s">
        <v>127</v>
      </c>
      <c r="G6" s="106" t="s">
        <v>113</v>
      </c>
      <c r="H6" s="10" t="s">
        <v>114</v>
      </c>
    </row>
    <row r="7" spans="1:10" ht="29.1">
      <c r="A7" s="158"/>
      <c r="B7" s="16">
        <v>3.3</v>
      </c>
      <c r="C7" s="16" t="s">
        <v>128</v>
      </c>
      <c r="D7" s="6" t="s">
        <v>129</v>
      </c>
      <c r="E7" s="6" t="s">
        <v>111</v>
      </c>
      <c r="F7" s="16" t="s">
        <v>130</v>
      </c>
      <c r="G7" s="106" t="s">
        <v>113</v>
      </c>
      <c r="H7" s="10" t="s">
        <v>114</v>
      </c>
    </row>
    <row r="8" spans="1:10" ht="15">
      <c r="A8" s="159" t="s">
        <v>131</v>
      </c>
      <c r="B8" s="7">
        <v>4.0999999999999996</v>
      </c>
      <c r="C8" s="7" t="s">
        <v>132</v>
      </c>
      <c r="D8" s="145" t="s">
        <v>133</v>
      </c>
      <c r="E8" s="145" t="s">
        <v>134</v>
      </c>
      <c r="F8" s="145" t="s">
        <v>135</v>
      </c>
      <c r="G8" s="106" t="s">
        <v>113</v>
      </c>
      <c r="H8" s="10" t="s">
        <v>114</v>
      </c>
    </row>
    <row r="9" spans="1:10">
      <c r="A9" s="159"/>
      <c r="B9" s="7">
        <v>4.2</v>
      </c>
      <c r="C9" s="7" t="s">
        <v>136</v>
      </c>
      <c r="D9" s="145" t="s">
        <v>133</v>
      </c>
      <c r="E9" s="145" t="s">
        <v>111</v>
      </c>
      <c r="F9" s="145" t="s">
        <v>137</v>
      </c>
      <c r="G9" s="106" t="s">
        <v>113</v>
      </c>
      <c r="H9" s="10" t="s">
        <v>114</v>
      </c>
    </row>
    <row r="10" spans="1:10">
      <c r="A10" s="159"/>
      <c r="B10" s="7">
        <v>4.3</v>
      </c>
      <c r="C10" s="7" t="s">
        <v>138</v>
      </c>
      <c r="D10" s="143" t="s">
        <v>139</v>
      </c>
      <c r="E10" s="145" t="s">
        <v>111</v>
      </c>
      <c r="F10" s="145" t="s">
        <v>140</v>
      </c>
      <c r="G10" s="106" t="s">
        <v>113</v>
      </c>
      <c r="H10" s="10" t="s">
        <v>114</v>
      </c>
    </row>
    <row r="11" spans="1:10" ht="29.1">
      <c r="A11" s="159"/>
      <c r="B11" s="7">
        <v>4.4000000000000004</v>
      </c>
      <c r="C11" s="7" t="s">
        <v>141</v>
      </c>
      <c r="D11" s="143" t="s">
        <v>142</v>
      </c>
      <c r="E11" s="145" t="s">
        <v>111</v>
      </c>
      <c r="F11" s="145" t="s">
        <v>143</v>
      </c>
      <c r="G11" s="106" t="s">
        <v>113</v>
      </c>
      <c r="H11" s="10" t="s">
        <v>114</v>
      </c>
      <c r="I11" t="s">
        <v>144</v>
      </c>
    </row>
    <row r="12" spans="1:10" ht="29.1">
      <c r="A12" s="116" t="s">
        <v>145</v>
      </c>
      <c r="B12" s="115">
        <v>5.0999999999999996</v>
      </c>
      <c r="C12" s="117" t="s">
        <v>146</v>
      </c>
      <c r="D12" s="18" t="s">
        <v>147</v>
      </c>
      <c r="E12" s="18" t="s">
        <v>123</v>
      </c>
      <c r="F12" s="18" t="s">
        <v>130</v>
      </c>
      <c r="G12" s="106" t="s">
        <v>113</v>
      </c>
      <c r="H12" s="10" t="s">
        <v>114</v>
      </c>
      <c r="I12" s="107"/>
      <c r="J12" s="27"/>
    </row>
    <row r="13" spans="1:10" ht="15" thickBot="1"/>
    <row r="14" spans="1:10">
      <c r="E14" s="29" t="s">
        <v>148</v>
      </c>
      <c r="F14" s="30"/>
    </row>
    <row r="15" spans="1:10">
      <c r="E15" s="31" t="s">
        <v>111</v>
      </c>
      <c r="F15" s="32" t="s">
        <v>149</v>
      </c>
    </row>
    <row r="16" spans="1:10">
      <c r="E16" s="31" t="s">
        <v>123</v>
      </c>
      <c r="F16" s="32" t="s">
        <v>150</v>
      </c>
    </row>
    <row r="17" spans="2:6" ht="29.45" thickBot="1">
      <c r="E17" s="33" t="s">
        <v>134</v>
      </c>
      <c r="F17" s="144" t="s">
        <v>151</v>
      </c>
    </row>
    <row r="19" spans="2:6" hidden="1">
      <c r="B19" t="s">
        <v>152</v>
      </c>
      <c r="F19" s="10" t="s">
        <v>153</v>
      </c>
    </row>
    <row r="20" spans="2:6" ht="29.1" hidden="1">
      <c r="B20" s="3">
        <v>2.2000000000000002</v>
      </c>
      <c r="C20" s="3" t="s">
        <v>154</v>
      </c>
      <c r="D20" s="4" t="s">
        <v>155</v>
      </c>
    </row>
    <row r="21" spans="2:6" ht="29.1" hidden="1">
      <c r="B21" s="3">
        <v>2.2999999999999998</v>
      </c>
      <c r="C21" s="3" t="s">
        <v>156</v>
      </c>
      <c r="D21" s="5"/>
    </row>
    <row r="22" spans="2:6" hidden="1">
      <c r="B22" s="3">
        <v>2.4</v>
      </c>
      <c r="C22" s="3" t="s">
        <v>157</v>
      </c>
      <c r="D22" s="5"/>
    </row>
    <row r="23" spans="2:6" hidden="1">
      <c r="B23" s="16">
        <v>3.3</v>
      </c>
      <c r="C23" s="16" t="s">
        <v>158</v>
      </c>
      <c r="D23" s="6" t="s">
        <v>159</v>
      </c>
    </row>
    <row r="24" spans="2:6" hidden="1">
      <c r="B24" s="16">
        <v>3.4</v>
      </c>
      <c r="C24" s="16" t="s">
        <v>160</v>
      </c>
      <c r="D24" s="6" t="s">
        <v>161</v>
      </c>
    </row>
    <row r="25" spans="2:6" hidden="1">
      <c r="B25" s="16">
        <v>3.6</v>
      </c>
      <c r="C25" s="16"/>
      <c r="D25" s="6"/>
    </row>
    <row r="26" spans="2:6" hidden="1">
      <c r="B26" s="16">
        <v>3.8</v>
      </c>
      <c r="C26" s="16"/>
      <c r="D26" s="6"/>
    </row>
    <row r="27" spans="2:6" hidden="1">
      <c r="B27" s="16">
        <v>3.9</v>
      </c>
      <c r="C27" s="16" t="s">
        <v>162</v>
      </c>
      <c r="D27" s="6" t="s">
        <v>129</v>
      </c>
    </row>
    <row r="28" spans="2:6" hidden="1">
      <c r="B28" s="16">
        <v>3.11</v>
      </c>
      <c r="C28" s="16" t="s">
        <v>163</v>
      </c>
      <c r="D28" s="6" t="s">
        <v>133</v>
      </c>
    </row>
    <row r="29" spans="2:6" hidden="1">
      <c r="B29" s="16">
        <v>3.12</v>
      </c>
      <c r="C29" s="16" t="s">
        <v>164</v>
      </c>
      <c r="D29" s="6"/>
    </row>
    <row r="30" spans="2:6" hidden="1">
      <c r="B30" s="16">
        <v>3.13</v>
      </c>
      <c r="C30" s="16" t="s">
        <v>165</v>
      </c>
      <c r="D30" s="6"/>
    </row>
    <row r="31" spans="2:6" hidden="1">
      <c r="B31" s="16">
        <v>3.14</v>
      </c>
      <c r="C31" s="16" t="s">
        <v>166</v>
      </c>
      <c r="D31" s="6"/>
    </row>
    <row r="32" spans="2:6" hidden="1">
      <c r="B32" s="16">
        <v>3.15</v>
      </c>
      <c r="C32" s="16" t="s">
        <v>167</v>
      </c>
      <c r="D32" s="6"/>
    </row>
    <row r="33" spans="2:4" hidden="1">
      <c r="B33" s="16">
        <v>3.16</v>
      </c>
      <c r="C33" s="16" t="s">
        <v>168</v>
      </c>
      <c r="D33" s="6"/>
    </row>
    <row r="34" spans="2:4" hidden="1">
      <c r="B34" s="16">
        <v>3.17</v>
      </c>
      <c r="C34" s="16" t="s">
        <v>169</v>
      </c>
      <c r="D34" s="6"/>
    </row>
    <row r="35" spans="2:4" ht="29.1" hidden="1">
      <c r="B35" s="16">
        <v>3.18</v>
      </c>
      <c r="C35" s="16" t="s">
        <v>170</v>
      </c>
      <c r="D35" s="6"/>
    </row>
    <row r="36" spans="2:4" hidden="1">
      <c r="B36" s="16">
        <v>3.19</v>
      </c>
      <c r="C36" s="16" t="s">
        <v>171</v>
      </c>
      <c r="D36" s="6"/>
    </row>
    <row r="37" spans="2:4" hidden="1">
      <c r="B37" s="16">
        <v>3.2</v>
      </c>
      <c r="C37" s="16" t="s">
        <v>172</v>
      </c>
      <c r="D37" s="6"/>
    </row>
    <row r="38" spans="2:4" hidden="1">
      <c r="B38" s="16">
        <v>3.21</v>
      </c>
      <c r="C38" s="16" t="s">
        <v>173</v>
      </c>
      <c r="D38" s="6"/>
    </row>
    <row r="39" spans="2:4" ht="29.1" hidden="1">
      <c r="B39" s="16">
        <v>3.22</v>
      </c>
      <c r="C39" s="16" t="s">
        <v>174</v>
      </c>
      <c r="D39" s="6"/>
    </row>
    <row r="40" spans="2:4" hidden="1">
      <c r="B40" s="7">
        <v>4.5</v>
      </c>
      <c r="C40" s="7" t="s">
        <v>175</v>
      </c>
      <c r="D40" s="154"/>
    </row>
    <row r="41" spans="2:4" hidden="1">
      <c r="B41" s="7">
        <v>4.5999999999999996</v>
      </c>
      <c r="C41" s="7" t="s">
        <v>176</v>
      </c>
      <c r="D41" s="154"/>
    </row>
    <row r="42" spans="2:4" hidden="1">
      <c r="B42" s="7">
        <v>4.7</v>
      </c>
      <c r="C42" s="7" t="s">
        <v>177</v>
      </c>
      <c r="D42" s="154"/>
    </row>
    <row r="43" spans="2:4" hidden="1">
      <c r="B43" s="7">
        <v>4.8</v>
      </c>
      <c r="C43" s="7" t="s">
        <v>178</v>
      </c>
      <c r="D43" s="154"/>
    </row>
    <row r="44" spans="2:4" hidden="1">
      <c r="B44" s="7">
        <v>4.9000000000000004</v>
      </c>
      <c r="C44" s="7" t="s">
        <v>179</v>
      </c>
      <c r="D44" s="154"/>
    </row>
    <row r="45" spans="2:4" hidden="1"/>
    <row r="46" spans="2:4" hidden="1"/>
    <row r="52" spans="4:4">
      <c r="D52" t="s">
        <v>130</v>
      </c>
    </row>
  </sheetData>
  <mergeCells count="4">
    <mergeCell ref="D40:D44"/>
    <mergeCell ref="A2:A4"/>
    <mergeCell ref="A5:A7"/>
    <mergeCell ref="A8:A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9DC8B-DF8C-4EF5-862D-B2292F5E2F44}">
  <dimension ref="A1:AP37"/>
  <sheetViews>
    <sheetView workbookViewId="0">
      <selection activeCell="F14" sqref="F14"/>
    </sheetView>
  </sheetViews>
  <sheetFormatPr defaultRowHeight="14.45"/>
  <cols>
    <col min="1" max="1" width="45.5703125" bestFit="1" customWidth="1"/>
    <col min="2" max="2" width="12.28515625" bestFit="1" customWidth="1"/>
    <col min="3" max="4" width="8.85546875" bestFit="1" customWidth="1"/>
    <col min="5" max="5" width="9.85546875" bestFit="1" customWidth="1"/>
    <col min="6" max="7" width="12.28515625" bestFit="1" customWidth="1"/>
    <col min="8" max="42" width="8.85546875" bestFit="1" customWidth="1"/>
  </cols>
  <sheetData>
    <row r="1" spans="1:42">
      <c r="A1" t="s">
        <v>109</v>
      </c>
    </row>
    <row r="3" spans="1:42">
      <c r="A3" t="s">
        <v>180</v>
      </c>
    </row>
    <row r="4" spans="1:42">
      <c r="A4" s="10" t="s">
        <v>181</v>
      </c>
      <c r="B4" s="10">
        <v>0</v>
      </c>
      <c r="C4" s="10">
        <v>1</v>
      </c>
      <c r="D4" s="10">
        <v>2</v>
      </c>
      <c r="E4" s="10">
        <v>3</v>
      </c>
      <c r="F4" s="10">
        <v>4</v>
      </c>
      <c r="G4" s="10">
        <v>5</v>
      </c>
      <c r="H4" s="10">
        <v>6</v>
      </c>
      <c r="I4" s="10">
        <v>7</v>
      </c>
      <c r="J4" s="10">
        <v>8</v>
      </c>
      <c r="K4" s="10">
        <v>9</v>
      </c>
      <c r="L4" s="10">
        <v>10</v>
      </c>
      <c r="M4" s="10">
        <v>11</v>
      </c>
      <c r="N4" s="10">
        <v>12</v>
      </c>
      <c r="O4" s="10">
        <v>13</v>
      </c>
      <c r="P4" s="10">
        <v>14</v>
      </c>
      <c r="Q4" s="10">
        <v>15</v>
      </c>
      <c r="R4" s="10">
        <v>16</v>
      </c>
      <c r="S4" s="10">
        <v>17</v>
      </c>
      <c r="T4" s="10">
        <v>18</v>
      </c>
      <c r="U4" s="10">
        <v>19</v>
      </c>
      <c r="V4" s="10">
        <v>20</v>
      </c>
      <c r="W4" s="10">
        <v>21</v>
      </c>
      <c r="X4" s="10">
        <v>22</v>
      </c>
      <c r="Y4" s="10">
        <v>23</v>
      </c>
      <c r="Z4" s="10">
        <v>24</v>
      </c>
      <c r="AA4" s="10">
        <v>25</v>
      </c>
      <c r="AB4" s="10">
        <v>26</v>
      </c>
      <c r="AC4" s="10">
        <v>27</v>
      </c>
      <c r="AD4" s="10">
        <v>28</v>
      </c>
      <c r="AE4" s="10">
        <v>29</v>
      </c>
      <c r="AF4" s="10">
        <v>30</v>
      </c>
      <c r="AG4" s="10">
        <v>31</v>
      </c>
      <c r="AH4" s="10">
        <v>32</v>
      </c>
      <c r="AI4" s="10">
        <v>33</v>
      </c>
      <c r="AJ4" s="10">
        <v>34</v>
      </c>
      <c r="AK4" s="10">
        <v>35</v>
      </c>
      <c r="AL4" s="10">
        <v>36</v>
      </c>
      <c r="AM4" s="10">
        <v>37</v>
      </c>
      <c r="AN4" s="10">
        <v>38</v>
      </c>
      <c r="AO4" s="10">
        <v>39</v>
      </c>
      <c r="AP4" s="10">
        <v>40</v>
      </c>
    </row>
    <row r="5" spans="1:42">
      <c r="A5" s="12" t="s">
        <v>182</v>
      </c>
      <c r="B5" s="14">
        <v>0</v>
      </c>
      <c r="C5" s="14">
        <v>0</v>
      </c>
      <c r="D5" s="14">
        <v>0</v>
      </c>
      <c r="E5" s="14">
        <v>0</v>
      </c>
      <c r="F5" s="14">
        <v>1000000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c r="AB5" s="14">
        <v>0</v>
      </c>
      <c r="AC5" s="14">
        <v>0</v>
      </c>
      <c r="AD5" s="14">
        <v>0</v>
      </c>
      <c r="AE5" s="14">
        <v>0</v>
      </c>
      <c r="AF5" s="14">
        <v>0</v>
      </c>
      <c r="AG5" s="14">
        <v>0</v>
      </c>
      <c r="AH5" s="14">
        <v>0</v>
      </c>
      <c r="AI5" s="14">
        <v>0</v>
      </c>
      <c r="AJ5" s="14">
        <v>0</v>
      </c>
      <c r="AK5" s="14">
        <v>0</v>
      </c>
      <c r="AL5" s="14">
        <v>0</v>
      </c>
      <c r="AM5" s="14">
        <v>0</v>
      </c>
      <c r="AN5" s="14">
        <v>0</v>
      </c>
      <c r="AO5" s="14">
        <v>0</v>
      </c>
      <c r="AP5" s="14">
        <v>0</v>
      </c>
    </row>
    <row r="6" spans="1:42">
      <c r="A6" s="12" t="s">
        <v>183</v>
      </c>
      <c r="B6" s="14">
        <v>0</v>
      </c>
      <c r="C6" s="14">
        <v>0</v>
      </c>
      <c r="D6" s="14">
        <v>0</v>
      </c>
      <c r="E6" s="14">
        <v>0</v>
      </c>
      <c r="F6" s="14">
        <v>0</v>
      </c>
      <c r="G6" s="14">
        <v>1000000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K6" s="14">
        <v>0</v>
      </c>
      <c r="AL6" s="14">
        <v>0</v>
      </c>
      <c r="AM6" s="14">
        <v>0</v>
      </c>
      <c r="AN6" s="14">
        <v>0</v>
      </c>
      <c r="AO6" s="14">
        <v>0</v>
      </c>
      <c r="AP6" s="14">
        <v>0</v>
      </c>
    </row>
    <row r="7" spans="1:42">
      <c r="A7" s="12" t="s">
        <v>184</v>
      </c>
      <c r="B7" s="14">
        <v>0</v>
      </c>
      <c r="C7" s="14">
        <v>0</v>
      </c>
      <c r="D7" s="14">
        <v>0</v>
      </c>
      <c r="E7" s="14">
        <v>0</v>
      </c>
      <c r="F7" s="14">
        <f>$B$34</f>
        <v>8513.5135135135133</v>
      </c>
      <c r="G7" s="14">
        <f t="shared" ref="G7:I7" si="0">$B$34</f>
        <v>8513.5135135135133</v>
      </c>
      <c r="H7" s="14">
        <f t="shared" si="0"/>
        <v>8513.5135135135133</v>
      </c>
      <c r="I7" s="14">
        <f t="shared" si="0"/>
        <v>8513.5135135135133</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c r="AB7" s="14">
        <v>0</v>
      </c>
      <c r="AC7" s="14">
        <v>0</v>
      </c>
      <c r="AD7" s="14">
        <v>0</v>
      </c>
      <c r="AE7" s="14">
        <v>0</v>
      </c>
      <c r="AF7" s="14">
        <v>0</v>
      </c>
      <c r="AG7" s="14">
        <v>0</v>
      </c>
      <c r="AH7" s="14">
        <v>0</v>
      </c>
      <c r="AI7" s="14">
        <v>0</v>
      </c>
      <c r="AJ7" s="14">
        <v>0</v>
      </c>
      <c r="AK7" s="14">
        <v>0</v>
      </c>
      <c r="AL7" s="14">
        <v>0</v>
      </c>
      <c r="AM7" s="14">
        <v>0</v>
      </c>
      <c r="AN7" s="14">
        <v>0</v>
      </c>
      <c r="AO7" s="14">
        <v>0</v>
      </c>
      <c r="AP7" s="14">
        <v>0</v>
      </c>
    </row>
    <row r="8" spans="1:42">
      <c r="A8" s="10" t="s">
        <v>185</v>
      </c>
      <c r="B8" s="14">
        <f>B6+B7</f>
        <v>0</v>
      </c>
      <c r="C8" s="14">
        <f t="shared" ref="C8:AP8" si="1">C6+C7</f>
        <v>0</v>
      </c>
      <c r="D8" s="14">
        <f t="shared" si="1"/>
        <v>0</v>
      </c>
      <c r="E8" s="14">
        <f t="shared" si="1"/>
        <v>0</v>
      </c>
      <c r="F8" s="14">
        <f t="shared" si="1"/>
        <v>8513.5135135135133</v>
      </c>
      <c r="G8" s="14">
        <f t="shared" si="1"/>
        <v>1008513.5135135135</v>
      </c>
      <c r="H8" s="14">
        <f t="shared" si="1"/>
        <v>8513.5135135135133</v>
      </c>
      <c r="I8" s="14">
        <f t="shared" si="1"/>
        <v>8513.5135135135133</v>
      </c>
      <c r="J8" s="14">
        <f t="shared" si="1"/>
        <v>0</v>
      </c>
      <c r="K8" s="14">
        <f t="shared" si="1"/>
        <v>0</v>
      </c>
      <c r="L8" s="14">
        <f t="shared" si="1"/>
        <v>0</v>
      </c>
      <c r="M8" s="14">
        <f t="shared" si="1"/>
        <v>0</v>
      </c>
      <c r="N8" s="14">
        <f t="shared" si="1"/>
        <v>0</v>
      </c>
      <c r="O8" s="14">
        <f t="shared" si="1"/>
        <v>0</v>
      </c>
      <c r="P8" s="14">
        <f t="shared" si="1"/>
        <v>0</v>
      </c>
      <c r="Q8" s="14">
        <f t="shared" si="1"/>
        <v>0</v>
      </c>
      <c r="R8" s="14">
        <f t="shared" si="1"/>
        <v>0</v>
      </c>
      <c r="S8" s="14">
        <f t="shared" si="1"/>
        <v>0</v>
      </c>
      <c r="T8" s="14">
        <f t="shared" si="1"/>
        <v>0</v>
      </c>
      <c r="U8" s="14">
        <f t="shared" si="1"/>
        <v>0</v>
      </c>
      <c r="V8" s="14">
        <f t="shared" si="1"/>
        <v>0</v>
      </c>
      <c r="W8" s="14">
        <f t="shared" si="1"/>
        <v>0</v>
      </c>
      <c r="X8" s="14">
        <f t="shared" si="1"/>
        <v>0</v>
      </c>
      <c r="Y8" s="14">
        <f t="shared" si="1"/>
        <v>0</v>
      </c>
      <c r="Z8" s="14">
        <f t="shared" si="1"/>
        <v>0</v>
      </c>
      <c r="AA8" s="14">
        <f t="shared" si="1"/>
        <v>0</v>
      </c>
      <c r="AB8" s="14">
        <f t="shared" si="1"/>
        <v>0</v>
      </c>
      <c r="AC8" s="14">
        <f t="shared" si="1"/>
        <v>0</v>
      </c>
      <c r="AD8" s="14">
        <f t="shared" si="1"/>
        <v>0</v>
      </c>
      <c r="AE8" s="14">
        <f t="shared" si="1"/>
        <v>0</v>
      </c>
      <c r="AF8" s="14">
        <f t="shared" si="1"/>
        <v>0</v>
      </c>
      <c r="AG8" s="14">
        <f t="shared" si="1"/>
        <v>0</v>
      </c>
      <c r="AH8" s="14">
        <f t="shared" si="1"/>
        <v>0</v>
      </c>
      <c r="AI8" s="14">
        <f t="shared" si="1"/>
        <v>0</v>
      </c>
      <c r="AJ8" s="14">
        <f t="shared" si="1"/>
        <v>0</v>
      </c>
      <c r="AK8" s="14">
        <f t="shared" si="1"/>
        <v>0</v>
      </c>
      <c r="AL8" s="14">
        <f t="shared" si="1"/>
        <v>0</v>
      </c>
      <c r="AM8" s="14">
        <f t="shared" si="1"/>
        <v>0</v>
      </c>
      <c r="AN8" s="14">
        <f t="shared" si="1"/>
        <v>0</v>
      </c>
      <c r="AO8" s="14">
        <f t="shared" si="1"/>
        <v>0</v>
      </c>
      <c r="AP8" s="14">
        <f t="shared" si="1"/>
        <v>0</v>
      </c>
    </row>
    <row r="9" spans="1:42">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row>
    <row r="10" spans="1:42">
      <c r="A10" s="10" t="s">
        <v>186</v>
      </c>
      <c r="B10" s="17">
        <v>0.04</v>
      </c>
      <c r="C10" s="9" t="s">
        <v>187</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row>
    <row r="11" spans="1:42">
      <c r="A11" s="10" t="s">
        <v>188</v>
      </c>
      <c r="B11" s="11">
        <f>NPV($B$10,(C5:AP5))+B5</f>
        <v>854804.19102972571</v>
      </c>
    </row>
    <row r="12" spans="1:42">
      <c r="A12" s="10" t="s">
        <v>189</v>
      </c>
      <c r="B12" s="11">
        <f>NPV($B$10,(C6:AP6))+B6</f>
        <v>821927.10675935156</v>
      </c>
    </row>
    <row r="13" spans="1:42">
      <c r="A13" s="10" t="s">
        <v>190</v>
      </c>
      <c r="B13" s="11">
        <f>NPV($B$10,(C8:AP8))+B8</f>
        <v>849399.90528819489</v>
      </c>
    </row>
    <row r="14" spans="1:42">
      <c r="A14" s="10" t="s">
        <v>191</v>
      </c>
      <c r="B14" s="11">
        <f>B11-B13</f>
        <v>5404.2857415308245</v>
      </c>
    </row>
    <row r="15" spans="1:42">
      <c r="B15" s="8"/>
    </row>
    <row r="16" spans="1:42">
      <c r="A16" s="10" t="s">
        <v>192</v>
      </c>
      <c r="B16" s="13">
        <v>0.95</v>
      </c>
    </row>
    <row r="17" spans="1:5">
      <c r="A17" s="10" t="s">
        <v>193</v>
      </c>
      <c r="B17" s="13">
        <v>0.05</v>
      </c>
    </row>
    <row r="19" spans="1:5">
      <c r="A19" s="10" t="s">
        <v>194</v>
      </c>
      <c r="B19" s="11">
        <f>B16*$B$14</f>
        <v>5134.0714544542834</v>
      </c>
    </row>
    <row r="20" spans="1:5">
      <c r="A20" s="10" t="s">
        <v>195</v>
      </c>
      <c r="B20" s="11">
        <f>B17*$B$14</f>
        <v>270.21428707654121</v>
      </c>
    </row>
    <row r="22" spans="1:5">
      <c r="A22" s="12" t="s">
        <v>196</v>
      </c>
      <c r="B22" s="15">
        <v>100</v>
      </c>
      <c r="C22" t="s">
        <v>197</v>
      </c>
    </row>
    <row r="23" spans="1:5">
      <c r="A23" s="12" t="s">
        <v>198</v>
      </c>
      <c r="B23" s="15">
        <v>5</v>
      </c>
      <c r="C23" t="s">
        <v>197</v>
      </c>
    </row>
    <row r="25" spans="1:5">
      <c r="A25" s="12" t="s">
        <v>199</v>
      </c>
      <c r="B25" s="15">
        <v>1</v>
      </c>
      <c r="C25" t="s">
        <v>197</v>
      </c>
    </row>
    <row r="26" spans="1:5">
      <c r="A26" s="12" t="s">
        <v>200</v>
      </c>
      <c r="B26" s="15">
        <v>10</v>
      </c>
      <c r="C26" t="s">
        <v>197</v>
      </c>
    </row>
    <row r="30" spans="1:5">
      <c r="A30" s="10" t="s">
        <v>201</v>
      </c>
      <c r="B30" s="11">
        <f>B19/$B$22/$B$23</f>
        <v>10.268142908908567</v>
      </c>
      <c r="D30" s="8"/>
      <c r="E30" s="8"/>
    </row>
    <row r="31" spans="1:5">
      <c r="A31" s="10" t="s">
        <v>202</v>
      </c>
      <c r="B31" s="11">
        <f>B20/(B25*B26)</f>
        <v>27.02142870765412</v>
      </c>
    </row>
    <row r="33" spans="1:3">
      <c r="A33" t="s">
        <v>203</v>
      </c>
    </row>
    <row r="34" spans="1:3">
      <c r="A34" s="10" t="s">
        <v>204</v>
      </c>
      <c r="B34" s="11">
        <f>'2.3 Flexibility Service Admin'!B6</f>
        <v>8513.5135135135133</v>
      </c>
      <c r="C34" t="s">
        <v>205</v>
      </c>
    </row>
    <row r="35" spans="1:3">
      <c r="B35" s="8"/>
    </row>
    <row r="36" spans="1:3">
      <c r="A36" t="s">
        <v>206</v>
      </c>
    </row>
    <row r="37" spans="1:3">
      <c r="A37" t="s">
        <v>207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2CEA-D149-4F94-B0C1-B5F600BD7E7F}">
  <dimension ref="A1:C11"/>
  <sheetViews>
    <sheetView workbookViewId="0">
      <selection activeCell="A3" sqref="A3"/>
    </sheetView>
  </sheetViews>
  <sheetFormatPr defaultRowHeight="14.45"/>
  <cols>
    <col min="1" max="1" width="15" customWidth="1"/>
  </cols>
  <sheetData>
    <row r="1" spans="1:3">
      <c r="A1" t="s">
        <v>115</v>
      </c>
    </row>
    <row r="2" spans="1:3">
      <c r="A2" s="8">
        <f>'ON-P Fixed Inputs'!K9</f>
        <v>59.74063086583358</v>
      </c>
      <c r="B2" t="s">
        <v>208</v>
      </c>
    </row>
    <row r="4" spans="1:3">
      <c r="A4" t="s">
        <v>209</v>
      </c>
      <c r="B4">
        <v>1.1000000000000001</v>
      </c>
      <c r="C4" t="s">
        <v>210</v>
      </c>
    </row>
    <row r="11" spans="1:3">
      <c r="A11" t="s">
        <v>211</v>
      </c>
      <c r="B11" s="28">
        <f>A2*B4</f>
        <v>65.714693952416937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C32C4-D6A4-4A23-BE91-A598527579E2}">
  <dimension ref="A1:B13"/>
  <sheetViews>
    <sheetView workbookViewId="0">
      <selection activeCell="A15" sqref="A15"/>
    </sheetView>
  </sheetViews>
  <sheetFormatPr defaultRowHeight="14.45"/>
  <cols>
    <col min="1" max="1" width="64.42578125" bestFit="1" customWidth="1"/>
    <col min="2" max="2" width="11.28515625" bestFit="1" customWidth="1"/>
  </cols>
  <sheetData>
    <row r="1" spans="1:2">
      <c r="A1" t="s">
        <v>212</v>
      </c>
    </row>
    <row r="3" spans="1:2">
      <c r="A3" s="19" t="s">
        <v>213</v>
      </c>
      <c r="B3">
        <f>80+60</f>
        <v>140</v>
      </c>
    </row>
    <row r="4" spans="1:2">
      <c r="A4" s="19" t="s">
        <v>214</v>
      </c>
      <c r="B4">
        <f>140/7.4</f>
        <v>18.918918918918919</v>
      </c>
    </row>
    <row r="5" spans="1:2">
      <c r="A5" s="19" t="s">
        <v>215</v>
      </c>
      <c r="B5" s="9">
        <v>450</v>
      </c>
    </row>
    <row r="6" spans="1:2">
      <c r="A6" s="19" t="s">
        <v>216</v>
      </c>
      <c r="B6" s="9">
        <f>B4*B5</f>
        <v>8513.5135135135133</v>
      </c>
    </row>
    <row r="7" spans="1:2">
      <c r="A7" s="19"/>
    </row>
    <row r="8" spans="1:2">
      <c r="A8" s="19" t="s">
        <v>217</v>
      </c>
      <c r="B8">
        <v>1.5</v>
      </c>
    </row>
    <row r="11" spans="1:2">
      <c r="A11" t="s">
        <v>218</v>
      </c>
      <c r="B11" s="9">
        <f>B6*B8</f>
        <v>12770.27027027027</v>
      </c>
    </row>
    <row r="13" spans="1:2">
      <c r="A13" t="s">
        <v>219</v>
      </c>
      <c r="B13" s="36">
        <v>160000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2E004-552C-4154-A130-BF418CB971EB}">
  <dimension ref="A1:M28"/>
  <sheetViews>
    <sheetView topLeftCell="G10" workbookViewId="0">
      <selection activeCell="A23" sqref="A23"/>
    </sheetView>
  </sheetViews>
  <sheetFormatPr defaultRowHeight="14.45"/>
  <cols>
    <col min="1" max="1" width="27.42578125" bestFit="1" customWidth="1"/>
  </cols>
  <sheetData>
    <row r="1" spans="1:10">
      <c r="A1" s="23" t="s">
        <v>121</v>
      </c>
    </row>
    <row r="4" spans="1:10">
      <c r="A4" s="10" t="s">
        <v>220</v>
      </c>
      <c r="B4" s="10">
        <v>45</v>
      </c>
    </row>
    <row r="6" spans="1:10">
      <c r="B6" s="160" t="s">
        <v>221</v>
      </c>
      <c r="C6" s="161"/>
      <c r="D6" s="161"/>
      <c r="E6" s="161"/>
      <c r="F6" s="161"/>
      <c r="G6" s="162"/>
    </row>
    <row r="7" spans="1:10">
      <c r="B7">
        <v>1</v>
      </c>
      <c r="C7">
        <v>2</v>
      </c>
      <c r="D7">
        <v>3</v>
      </c>
      <c r="E7">
        <v>4</v>
      </c>
      <c r="F7">
        <v>5</v>
      </c>
      <c r="G7">
        <v>6</v>
      </c>
    </row>
    <row r="8" spans="1:10">
      <c r="B8">
        <v>2016</v>
      </c>
      <c r="C8">
        <v>2017</v>
      </c>
      <c r="D8">
        <v>2018</v>
      </c>
      <c r="E8">
        <v>2019</v>
      </c>
      <c r="F8">
        <v>2020</v>
      </c>
      <c r="G8">
        <v>2021</v>
      </c>
    </row>
    <row r="9" spans="1:10">
      <c r="A9" t="s">
        <v>222</v>
      </c>
      <c r="B9">
        <v>10</v>
      </c>
      <c r="C9">
        <v>15</v>
      </c>
      <c r="D9">
        <v>5</v>
      </c>
      <c r="E9">
        <v>10</v>
      </c>
      <c r="F9">
        <v>12</v>
      </c>
    </row>
    <row r="10" spans="1:10">
      <c r="A10" t="s">
        <v>223</v>
      </c>
      <c r="B10" s="109">
        <v>70</v>
      </c>
      <c r="C10" s="109">
        <v>70</v>
      </c>
      <c r="D10" s="109">
        <v>70</v>
      </c>
      <c r="E10" s="109">
        <v>70</v>
      </c>
      <c r="F10" s="109">
        <v>70</v>
      </c>
      <c r="G10" s="109"/>
    </row>
    <row r="11" spans="1:10">
      <c r="A11" t="s">
        <v>224</v>
      </c>
      <c r="B11">
        <f>B9*B10/100</f>
        <v>7</v>
      </c>
      <c r="C11">
        <f>C9*C10/100</f>
        <v>10.5</v>
      </c>
      <c r="D11">
        <f>D9*D10/100</f>
        <v>3.5</v>
      </c>
      <c r="E11">
        <f>E9*E10/100</f>
        <v>7</v>
      </c>
      <c r="F11">
        <f>F9*70/100</f>
        <v>8.4</v>
      </c>
    </row>
    <row r="13" spans="1:10">
      <c r="A13" t="s">
        <v>225</v>
      </c>
      <c r="H13" t="s">
        <v>226</v>
      </c>
      <c r="I13" t="s">
        <v>227</v>
      </c>
      <c r="J13" t="s">
        <v>228</v>
      </c>
    </row>
    <row r="14" spans="1:10">
      <c r="A14">
        <v>2016</v>
      </c>
      <c r="C14" s="110">
        <f>B11/B4</f>
        <v>0.15555555555555556</v>
      </c>
      <c r="D14" s="110">
        <f>B11/B4</f>
        <v>0.15555555555555556</v>
      </c>
      <c r="E14" s="110">
        <f>B11/B4</f>
        <v>0.15555555555555556</v>
      </c>
      <c r="F14" s="110">
        <f>B11/B4</f>
        <v>0.15555555555555556</v>
      </c>
      <c r="G14" s="110">
        <f>B11/B4</f>
        <v>0.15555555555555556</v>
      </c>
      <c r="H14" s="110">
        <f>SUM(C14:G14)</f>
        <v>0.77777777777777779</v>
      </c>
      <c r="I14" s="110">
        <f>B11-H14</f>
        <v>6.2222222222222223</v>
      </c>
      <c r="J14" s="110">
        <f>(1-(G8-A14)/B4)*B11</f>
        <v>6.2222222222222214</v>
      </c>
    </row>
    <row r="15" spans="1:10">
      <c r="A15">
        <v>2017</v>
      </c>
      <c r="D15" s="110">
        <f>C11/B4</f>
        <v>0.23333333333333334</v>
      </c>
      <c r="E15" s="110">
        <f>C11/B4</f>
        <v>0.23333333333333334</v>
      </c>
      <c r="F15" s="110">
        <f>C11/B4</f>
        <v>0.23333333333333334</v>
      </c>
      <c r="G15" s="110">
        <f>C11/B4</f>
        <v>0.23333333333333334</v>
      </c>
      <c r="H15" s="110">
        <f t="shared" ref="H15:H18" si="0">SUM(C15:G15)</f>
        <v>0.93333333333333335</v>
      </c>
      <c r="I15" s="110">
        <f>C11-H15</f>
        <v>9.5666666666666664</v>
      </c>
      <c r="J15" s="110">
        <f>(1- (G8-A15)/B4)*C11</f>
        <v>9.5666666666666664</v>
      </c>
    </row>
    <row r="16" spans="1:10">
      <c r="A16">
        <v>2018</v>
      </c>
      <c r="E16" s="110">
        <f>D11/B4</f>
        <v>7.7777777777777779E-2</v>
      </c>
      <c r="F16" s="110">
        <f>D11/B4</f>
        <v>7.7777777777777779E-2</v>
      </c>
      <c r="G16" s="110">
        <f>D11/B4</f>
        <v>7.7777777777777779E-2</v>
      </c>
      <c r="H16" s="110">
        <f t="shared" si="0"/>
        <v>0.23333333333333334</v>
      </c>
      <c r="I16" s="110">
        <f>D11-H16</f>
        <v>3.2666666666666666</v>
      </c>
      <c r="J16" s="110">
        <f>(1-(G8-A16)/B4)*D11</f>
        <v>3.2666666666666666</v>
      </c>
    </row>
    <row r="17" spans="1:13">
      <c r="A17">
        <v>2019</v>
      </c>
      <c r="F17" s="110">
        <f>E11/B4</f>
        <v>0.15555555555555556</v>
      </c>
      <c r="G17" s="110">
        <f>E11/B4</f>
        <v>0.15555555555555556</v>
      </c>
      <c r="H17" s="110">
        <f t="shared" si="0"/>
        <v>0.31111111111111112</v>
      </c>
      <c r="I17" s="110">
        <f>E11-H17</f>
        <v>6.6888888888888891</v>
      </c>
      <c r="J17" s="110">
        <f>(1-(G8-A17)/B4)*E11</f>
        <v>6.6888888888888891</v>
      </c>
    </row>
    <row r="18" spans="1:13">
      <c r="A18">
        <v>2020</v>
      </c>
      <c r="G18" s="110">
        <f>F11/B4</f>
        <v>0.18666666666666668</v>
      </c>
      <c r="H18" s="110">
        <f t="shared" si="0"/>
        <v>0.18666666666666668</v>
      </c>
      <c r="I18" s="110">
        <f>F11-G18</f>
        <v>8.2133333333333329</v>
      </c>
      <c r="J18" s="110">
        <f>(1-(G8-A18)/B4)*F11</f>
        <v>8.2133333333333329</v>
      </c>
    </row>
    <row r="22" spans="1:13">
      <c r="A22" s="111" t="s">
        <v>229</v>
      </c>
    </row>
    <row r="23" spans="1:13">
      <c r="A23" t="s">
        <v>124</v>
      </c>
    </row>
    <row r="28" spans="1:13" hidden="1">
      <c r="A28" s="111" t="s">
        <v>230</v>
      </c>
      <c r="M28" t="s">
        <v>231</v>
      </c>
    </row>
  </sheetData>
  <mergeCells count="1">
    <mergeCell ref="B6:G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4A607-292B-46ED-AB72-F44C6DA90810}">
  <dimension ref="A1:AP61"/>
  <sheetViews>
    <sheetView workbookViewId="0">
      <selection activeCell="F51" sqref="F51"/>
    </sheetView>
  </sheetViews>
  <sheetFormatPr defaultRowHeight="14.45"/>
  <cols>
    <col min="1" max="1" width="45.5703125" bestFit="1" customWidth="1"/>
    <col min="2" max="2" width="12.28515625" bestFit="1" customWidth="1"/>
    <col min="3" max="4" width="8.85546875" bestFit="1" customWidth="1"/>
    <col min="5" max="5" width="9.85546875" bestFit="1" customWidth="1"/>
    <col min="6" max="6" width="13.5703125" customWidth="1"/>
    <col min="7" max="7" width="14.28515625" customWidth="1"/>
    <col min="8" max="42" width="8.85546875" bestFit="1" customWidth="1"/>
  </cols>
  <sheetData>
    <row r="1" spans="1:42">
      <c r="A1" t="s">
        <v>109</v>
      </c>
    </row>
    <row r="3" spans="1:42">
      <c r="A3" t="s">
        <v>180</v>
      </c>
    </row>
    <row r="4" spans="1:42">
      <c r="A4" s="10" t="s">
        <v>181</v>
      </c>
      <c r="B4" s="10">
        <v>0</v>
      </c>
      <c r="C4" s="10">
        <v>1</v>
      </c>
      <c r="D4" s="10">
        <v>2</v>
      </c>
      <c r="E4" s="10">
        <v>3</v>
      </c>
      <c r="F4" s="10">
        <v>4</v>
      </c>
      <c r="G4" s="10">
        <v>5</v>
      </c>
      <c r="H4" s="10">
        <v>6</v>
      </c>
      <c r="I4" s="10">
        <v>7</v>
      </c>
      <c r="J4" s="10">
        <v>8</v>
      </c>
      <c r="K4" s="10">
        <v>9</v>
      </c>
      <c r="L4" s="10">
        <v>10</v>
      </c>
      <c r="M4" s="10">
        <v>11</v>
      </c>
      <c r="N4" s="10">
        <v>12</v>
      </c>
      <c r="O4" s="10">
        <v>13</v>
      </c>
      <c r="P4" s="10">
        <v>14</v>
      </c>
      <c r="Q4" s="10">
        <v>15</v>
      </c>
      <c r="R4" s="10">
        <v>16</v>
      </c>
      <c r="S4" s="10">
        <v>17</v>
      </c>
      <c r="T4" s="10">
        <v>18</v>
      </c>
      <c r="U4" s="10">
        <v>19</v>
      </c>
      <c r="V4" s="10">
        <v>20</v>
      </c>
      <c r="W4" s="10">
        <v>21</v>
      </c>
      <c r="X4" s="10">
        <v>22</v>
      </c>
      <c r="Y4" s="10">
        <v>23</v>
      </c>
      <c r="Z4" s="10">
        <v>24</v>
      </c>
      <c r="AA4" s="10">
        <v>25</v>
      </c>
      <c r="AB4" s="10">
        <v>26</v>
      </c>
      <c r="AC4" s="10">
        <v>27</v>
      </c>
      <c r="AD4" s="10">
        <v>28</v>
      </c>
      <c r="AE4" s="10">
        <v>29</v>
      </c>
      <c r="AF4" s="10">
        <v>30</v>
      </c>
      <c r="AG4" s="10">
        <v>31</v>
      </c>
      <c r="AH4" s="10">
        <v>32</v>
      </c>
      <c r="AI4" s="10">
        <v>33</v>
      </c>
      <c r="AJ4" s="10">
        <v>34</v>
      </c>
      <c r="AK4" s="10">
        <v>35</v>
      </c>
      <c r="AL4" s="10">
        <v>36</v>
      </c>
      <c r="AM4" s="10">
        <v>37</v>
      </c>
      <c r="AN4" s="10">
        <v>38</v>
      </c>
      <c r="AO4" s="10">
        <v>39</v>
      </c>
      <c r="AP4" s="10">
        <v>40</v>
      </c>
    </row>
    <row r="5" spans="1:42">
      <c r="A5" s="12" t="s">
        <v>182</v>
      </c>
      <c r="B5" s="14">
        <v>0</v>
      </c>
      <c r="C5" s="14">
        <v>0</v>
      </c>
      <c r="D5" s="14">
        <v>0</v>
      </c>
      <c r="E5" s="14">
        <v>0</v>
      </c>
      <c r="F5" s="14">
        <v>1000000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c r="AB5" s="14">
        <v>0</v>
      </c>
      <c r="AC5" s="14">
        <v>0</v>
      </c>
      <c r="AD5" s="14">
        <v>0</v>
      </c>
      <c r="AE5" s="14">
        <v>0</v>
      </c>
      <c r="AF5" s="14">
        <v>0</v>
      </c>
      <c r="AG5" s="14">
        <v>0</v>
      </c>
      <c r="AH5" s="14">
        <v>0</v>
      </c>
      <c r="AI5" s="14">
        <v>0</v>
      </c>
      <c r="AJ5" s="14">
        <v>0</v>
      </c>
      <c r="AK5" s="14">
        <v>0</v>
      </c>
      <c r="AL5" s="14">
        <v>0</v>
      </c>
      <c r="AM5" s="14">
        <v>0</v>
      </c>
      <c r="AN5" s="14">
        <v>0</v>
      </c>
      <c r="AO5" s="14">
        <v>0</v>
      </c>
      <c r="AP5" s="14">
        <v>0</v>
      </c>
    </row>
    <row r="6" spans="1:42">
      <c r="A6" s="12" t="s">
        <v>183</v>
      </c>
      <c r="B6" s="14">
        <v>0</v>
      </c>
      <c r="C6" s="14">
        <v>0</v>
      </c>
      <c r="D6" s="14">
        <v>0</v>
      </c>
      <c r="E6" s="14">
        <v>0</v>
      </c>
      <c r="F6" s="14">
        <v>0</v>
      </c>
      <c r="G6" s="14">
        <v>1000000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K6" s="14">
        <v>0</v>
      </c>
      <c r="AL6" s="14">
        <v>0</v>
      </c>
      <c r="AM6" s="14">
        <v>0</v>
      </c>
      <c r="AN6" s="14">
        <v>0</v>
      </c>
      <c r="AO6" s="14">
        <v>0</v>
      </c>
      <c r="AP6" s="14">
        <v>0</v>
      </c>
    </row>
    <row r="7" spans="1:42">
      <c r="A7" s="12" t="s">
        <v>184</v>
      </c>
      <c r="B7" s="14">
        <v>0</v>
      </c>
      <c r="C7" s="14">
        <v>0</v>
      </c>
      <c r="D7" s="14">
        <v>0</v>
      </c>
      <c r="E7" s="14">
        <v>0</v>
      </c>
      <c r="F7" s="14">
        <f>$B$34</f>
        <v>8513.5135135135133</v>
      </c>
      <c r="G7" s="14">
        <f t="shared" ref="G7:I7" si="0">$B$34</f>
        <v>8513.5135135135133</v>
      </c>
      <c r="H7" s="14">
        <f t="shared" si="0"/>
        <v>8513.5135135135133</v>
      </c>
      <c r="I7" s="14">
        <f t="shared" si="0"/>
        <v>8513.5135135135133</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c r="AB7" s="14">
        <v>0</v>
      </c>
      <c r="AC7" s="14">
        <v>0</v>
      </c>
      <c r="AD7" s="14">
        <v>0</v>
      </c>
      <c r="AE7" s="14">
        <v>0</v>
      </c>
      <c r="AF7" s="14">
        <v>0</v>
      </c>
      <c r="AG7" s="14">
        <v>0</v>
      </c>
      <c r="AH7" s="14">
        <v>0</v>
      </c>
      <c r="AI7" s="14">
        <v>0</v>
      </c>
      <c r="AJ7" s="14">
        <v>0</v>
      </c>
      <c r="AK7" s="14">
        <v>0</v>
      </c>
      <c r="AL7" s="14">
        <v>0</v>
      </c>
      <c r="AM7" s="14">
        <v>0</v>
      </c>
      <c r="AN7" s="14">
        <v>0</v>
      </c>
      <c r="AO7" s="14">
        <v>0</v>
      </c>
      <c r="AP7" s="14">
        <v>0</v>
      </c>
    </row>
    <row r="8" spans="1:42">
      <c r="A8" s="10" t="s">
        <v>185</v>
      </c>
      <c r="B8" s="14">
        <f>B6+B7</f>
        <v>0</v>
      </c>
      <c r="C8" s="14">
        <f t="shared" ref="C8:AP8" si="1">C6+C7</f>
        <v>0</v>
      </c>
      <c r="D8" s="14">
        <f t="shared" si="1"/>
        <v>0</v>
      </c>
      <c r="E8" s="14">
        <f t="shared" si="1"/>
        <v>0</v>
      </c>
      <c r="F8" s="14">
        <f t="shared" si="1"/>
        <v>8513.5135135135133</v>
      </c>
      <c r="G8" s="14">
        <f t="shared" si="1"/>
        <v>1008513.5135135135</v>
      </c>
      <c r="H8" s="14">
        <f t="shared" si="1"/>
        <v>8513.5135135135133</v>
      </c>
      <c r="I8" s="14">
        <f t="shared" si="1"/>
        <v>8513.5135135135133</v>
      </c>
      <c r="J8" s="14">
        <f t="shared" si="1"/>
        <v>0</v>
      </c>
      <c r="K8" s="14">
        <f t="shared" si="1"/>
        <v>0</v>
      </c>
      <c r="L8" s="14">
        <f t="shared" si="1"/>
        <v>0</v>
      </c>
      <c r="M8" s="14">
        <f t="shared" si="1"/>
        <v>0</v>
      </c>
      <c r="N8" s="14">
        <f t="shared" si="1"/>
        <v>0</v>
      </c>
      <c r="O8" s="14">
        <f t="shared" si="1"/>
        <v>0</v>
      </c>
      <c r="P8" s="14">
        <f t="shared" si="1"/>
        <v>0</v>
      </c>
      <c r="Q8" s="14">
        <f t="shared" si="1"/>
        <v>0</v>
      </c>
      <c r="R8" s="14">
        <f t="shared" si="1"/>
        <v>0</v>
      </c>
      <c r="S8" s="14">
        <f t="shared" si="1"/>
        <v>0</v>
      </c>
      <c r="T8" s="14">
        <f t="shared" si="1"/>
        <v>0</v>
      </c>
      <c r="U8" s="14">
        <f t="shared" si="1"/>
        <v>0</v>
      </c>
      <c r="V8" s="14">
        <f t="shared" si="1"/>
        <v>0</v>
      </c>
      <c r="W8" s="14">
        <f t="shared" si="1"/>
        <v>0</v>
      </c>
      <c r="X8" s="14">
        <f t="shared" si="1"/>
        <v>0</v>
      </c>
      <c r="Y8" s="14">
        <f t="shared" si="1"/>
        <v>0</v>
      </c>
      <c r="Z8" s="14">
        <f t="shared" si="1"/>
        <v>0</v>
      </c>
      <c r="AA8" s="14">
        <f t="shared" si="1"/>
        <v>0</v>
      </c>
      <c r="AB8" s="14">
        <f t="shared" si="1"/>
        <v>0</v>
      </c>
      <c r="AC8" s="14">
        <f t="shared" si="1"/>
        <v>0</v>
      </c>
      <c r="AD8" s="14">
        <f t="shared" si="1"/>
        <v>0</v>
      </c>
      <c r="AE8" s="14">
        <f t="shared" si="1"/>
        <v>0</v>
      </c>
      <c r="AF8" s="14">
        <f t="shared" si="1"/>
        <v>0</v>
      </c>
      <c r="AG8" s="14">
        <f t="shared" si="1"/>
        <v>0</v>
      </c>
      <c r="AH8" s="14">
        <f t="shared" si="1"/>
        <v>0</v>
      </c>
      <c r="AI8" s="14">
        <f t="shared" si="1"/>
        <v>0</v>
      </c>
      <c r="AJ8" s="14">
        <f t="shared" si="1"/>
        <v>0</v>
      </c>
      <c r="AK8" s="14">
        <f t="shared" si="1"/>
        <v>0</v>
      </c>
      <c r="AL8" s="14">
        <f t="shared" si="1"/>
        <v>0</v>
      </c>
      <c r="AM8" s="14">
        <f t="shared" si="1"/>
        <v>0</v>
      </c>
      <c r="AN8" s="14">
        <f t="shared" si="1"/>
        <v>0</v>
      </c>
      <c r="AO8" s="14">
        <f t="shared" si="1"/>
        <v>0</v>
      </c>
      <c r="AP8" s="14">
        <f t="shared" si="1"/>
        <v>0</v>
      </c>
    </row>
    <row r="9" spans="1:42">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row>
    <row r="10" spans="1:42">
      <c r="A10" s="10" t="s">
        <v>186</v>
      </c>
      <c r="B10" s="17">
        <v>0.04</v>
      </c>
      <c r="C10" s="9" t="s">
        <v>187</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row>
    <row r="11" spans="1:42">
      <c r="A11" s="10" t="s">
        <v>188</v>
      </c>
      <c r="B11" s="11">
        <f>NPV($B$10,(C5:AP5))+B5</f>
        <v>854804.19102972571</v>
      </c>
    </row>
    <row r="12" spans="1:42">
      <c r="A12" s="10" t="s">
        <v>189</v>
      </c>
      <c r="B12" s="11">
        <f>NPV($B$10,(C6:AP6))+B6</f>
        <v>821927.10675935156</v>
      </c>
    </row>
    <row r="13" spans="1:42">
      <c r="A13" s="10" t="s">
        <v>190</v>
      </c>
      <c r="B13" s="11">
        <f>NPV($B$10,(C8:AP8))+B8</f>
        <v>849399.90528819489</v>
      </c>
    </row>
    <row r="14" spans="1:42">
      <c r="A14" s="10" t="s">
        <v>191</v>
      </c>
      <c r="B14" s="11">
        <f>B11-B13</f>
        <v>5404.2857415308245</v>
      </c>
    </row>
    <row r="15" spans="1:42">
      <c r="B15" s="8"/>
    </row>
    <row r="16" spans="1:42">
      <c r="A16" s="10" t="s">
        <v>192</v>
      </c>
      <c r="B16" s="13">
        <v>0.95</v>
      </c>
    </row>
    <row r="17" spans="1:5">
      <c r="A17" s="10" t="s">
        <v>193</v>
      </c>
      <c r="B17" s="13">
        <v>0.05</v>
      </c>
    </row>
    <row r="19" spans="1:5">
      <c r="A19" s="10" t="s">
        <v>194</v>
      </c>
      <c r="B19" s="11">
        <f>B16*$B$14</f>
        <v>5134.0714544542834</v>
      </c>
    </row>
    <row r="20" spans="1:5">
      <c r="A20" s="10" t="s">
        <v>195</v>
      </c>
      <c r="B20" s="11">
        <f>B17*$B$14</f>
        <v>270.21428707654121</v>
      </c>
    </row>
    <row r="22" spans="1:5">
      <c r="A22" s="12" t="s">
        <v>196</v>
      </c>
      <c r="B22" s="15">
        <v>100</v>
      </c>
      <c r="C22" t="s">
        <v>197</v>
      </c>
    </row>
    <row r="23" spans="1:5">
      <c r="A23" s="12" t="s">
        <v>198</v>
      </c>
      <c r="B23" s="15">
        <v>5</v>
      </c>
      <c r="C23" t="s">
        <v>197</v>
      </c>
    </row>
    <row r="25" spans="1:5">
      <c r="A25" s="12" t="s">
        <v>199</v>
      </c>
      <c r="B25" s="15">
        <v>1</v>
      </c>
      <c r="C25" t="s">
        <v>197</v>
      </c>
    </row>
    <row r="26" spans="1:5">
      <c r="A26" s="12" t="s">
        <v>200</v>
      </c>
      <c r="B26" s="15">
        <v>10</v>
      </c>
      <c r="C26" t="s">
        <v>197</v>
      </c>
    </row>
    <row r="30" spans="1:5">
      <c r="A30" s="10" t="s">
        <v>201</v>
      </c>
      <c r="B30" s="11">
        <f>B19/$B$22/$B$23</f>
        <v>10.268142908908567</v>
      </c>
      <c r="D30" s="8"/>
      <c r="E30" s="8"/>
    </row>
    <row r="31" spans="1:5">
      <c r="A31" s="10" t="s">
        <v>202</v>
      </c>
      <c r="B31" s="11">
        <f>B20/(B25*B26)</f>
        <v>27.02142870765412</v>
      </c>
    </row>
    <row r="33" spans="1:3">
      <c r="A33" t="s">
        <v>203</v>
      </c>
    </row>
    <row r="34" spans="1:3">
      <c r="A34" s="10" t="s">
        <v>204</v>
      </c>
      <c r="B34" s="11">
        <f>'2.3 Flexibility Service Admin'!B6</f>
        <v>8513.5135135135133</v>
      </c>
      <c r="C34" t="s">
        <v>205</v>
      </c>
    </row>
    <row r="35" spans="1:3">
      <c r="B35" s="8"/>
    </row>
    <row r="36" spans="1:3">
      <c r="A36" t="s">
        <v>206</v>
      </c>
    </row>
    <row r="37" spans="1:3">
      <c r="A37" t="s">
        <v>207</v>
      </c>
    </row>
    <row r="39" spans="1:3">
      <c r="A39" t="s">
        <v>232</v>
      </c>
    </row>
    <row r="40" spans="1:3">
      <c r="A40" t="s">
        <v>233</v>
      </c>
      <c r="B40" t="s">
        <v>234</v>
      </c>
      <c r="C40" t="s">
        <v>235</v>
      </c>
    </row>
    <row r="41" spans="1:3">
      <c r="A41" t="s">
        <v>236</v>
      </c>
      <c r="B41" t="s">
        <v>234</v>
      </c>
      <c r="C41" t="s">
        <v>237</v>
      </c>
    </row>
    <row r="42" spans="1:3">
      <c r="A42" t="s">
        <v>238</v>
      </c>
      <c r="B42" t="s">
        <v>234</v>
      </c>
      <c r="C42" t="s">
        <v>237</v>
      </c>
    </row>
    <row r="43" spans="1:3">
      <c r="A43" t="s">
        <v>239</v>
      </c>
      <c r="B43" t="s">
        <v>234</v>
      </c>
      <c r="C43" t="s">
        <v>235</v>
      </c>
    </row>
    <row r="44" spans="1:3">
      <c r="A44" t="s">
        <v>240</v>
      </c>
      <c r="B44" t="s">
        <v>234</v>
      </c>
      <c r="C44" t="s">
        <v>237</v>
      </c>
    </row>
    <row r="45" spans="1:3">
      <c r="A45" t="s">
        <v>241</v>
      </c>
      <c r="B45" t="s">
        <v>234</v>
      </c>
      <c r="C45" t="s">
        <v>242</v>
      </c>
    </row>
    <row r="47" spans="1:3">
      <c r="A47" t="s">
        <v>243</v>
      </c>
      <c r="B47" s="9"/>
    </row>
    <row r="48" spans="1:3">
      <c r="A48" t="s">
        <v>244</v>
      </c>
    </row>
    <row r="49" spans="1:10">
      <c r="A49" t="s">
        <v>245</v>
      </c>
    </row>
    <row r="51" spans="1:10">
      <c r="A51" t="s">
        <v>246</v>
      </c>
    </row>
    <row r="55" spans="1:10" ht="29.1">
      <c r="A55" t="s">
        <v>247</v>
      </c>
      <c r="B55" s="21" t="s">
        <v>248</v>
      </c>
      <c r="C55" t="s">
        <v>249</v>
      </c>
    </row>
    <row r="56" spans="1:10">
      <c r="A56" t="s">
        <v>250</v>
      </c>
      <c r="B56" s="9">
        <v>148.63679999999999</v>
      </c>
      <c r="C56" t="s">
        <v>251</v>
      </c>
    </row>
    <row r="57" spans="1:10">
      <c r="A57" t="s">
        <v>252</v>
      </c>
      <c r="B57" s="9">
        <v>99.324193432373207</v>
      </c>
      <c r="C57" t="s">
        <v>251</v>
      </c>
      <c r="D57" s="35"/>
      <c r="E57" s="35"/>
      <c r="F57" s="35"/>
      <c r="G57" s="35"/>
      <c r="H57" s="35"/>
      <c r="I57" s="9"/>
      <c r="J57" s="9"/>
    </row>
    <row r="58" spans="1:10">
      <c r="A58" t="s">
        <v>253</v>
      </c>
      <c r="B58" s="9">
        <v>75.049922335495836</v>
      </c>
      <c r="C58" t="s">
        <v>251</v>
      </c>
    </row>
    <row r="59" spans="1:10">
      <c r="A59" t="s">
        <v>254</v>
      </c>
      <c r="B59" s="9">
        <v>35.110547481257257</v>
      </c>
      <c r="C59" t="s">
        <v>251</v>
      </c>
      <c r="D59" s="35"/>
      <c r="E59" s="9"/>
      <c r="F59" s="9"/>
      <c r="G59" s="9"/>
    </row>
    <row r="60" spans="1:10">
      <c r="A60" t="s">
        <v>255</v>
      </c>
      <c r="B60" s="9">
        <v>27.275710310952661</v>
      </c>
      <c r="C60" t="s">
        <v>251</v>
      </c>
    </row>
    <row r="61" spans="1:10">
      <c r="A61" t="s">
        <v>256</v>
      </c>
      <c r="B61" t="s">
        <v>257</v>
      </c>
      <c r="C61" t="s">
        <v>258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0100B-D34D-4AB3-BC12-8A9A1E3E3FC4}">
  <dimension ref="B2:AB68"/>
  <sheetViews>
    <sheetView topLeftCell="A5" zoomScale="40" zoomScaleNormal="40" workbookViewId="0">
      <selection activeCell="F28" sqref="F28"/>
    </sheetView>
  </sheetViews>
  <sheetFormatPr defaultRowHeight="14.45"/>
  <cols>
    <col min="2" max="2" width="23" bestFit="1" customWidth="1"/>
    <col min="3" max="3" width="16.140625" bestFit="1" customWidth="1"/>
    <col min="4" max="4" width="19.42578125" bestFit="1" customWidth="1"/>
    <col min="5" max="5" width="12" bestFit="1" customWidth="1"/>
    <col min="6" max="7" width="12" customWidth="1"/>
    <col min="8" max="8" width="16.5703125" bestFit="1" customWidth="1"/>
    <col min="9" max="9" width="16.140625" bestFit="1" customWidth="1"/>
    <col min="10" max="10" width="15.28515625" bestFit="1" customWidth="1"/>
    <col min="12" max="12" width="14" bestFit="1" customWidth="1"/>
    <col min="15" max="15" width="16.5703125" bestFit="1" customWidth="1"/>
    <col min="16" max="16" width="16.140625" bestFit="1" customWidth="1"/>
    <col min="17" max="17" width="15.28515625" bestFit="1" customWidth="1"/>
    <col min="20" max="20" width="16.42578125" customWidth="1"/>
    <col min="21" max="21" width="20.85546875" bestFit="1" customWidth="1"/>
    <col min="22" max="22" width="12.28515625" bestFit="1" customWidth="1"/>
    <col min="25" max="25" width="20.85546875" bestFit="1" customWidth="1"/>
    <col min="26" max="26" width="21.42578125" bestFit="1" customWidth="1"/>
    <col min="27" max="27" width="24.85546875" bestFit="1" customWidth="1"/>
    <col min="28" max="28" width="24.42578125" bestFit="1" customWidth="1"/>
    <col min="29" max="29" width="20.85546875" bestFit="1" customWidth="1"/>
    <col min="30" max="30" width="16.85546875" bestFit="1" customWidth="1"/>
    <col min="31" max="31" width="20.42578125" bestFit="1" customWidth="1"/>
    <col min="32" max="32" width="20" bestFit="1" customWidth="1"/>
  </cols>
  <sheetData>
    <row r="2" spans="2:28">
      <c r="Y2" s="27"/>
      <c r="Z2" s="27"/>
      <c r="AA2" s="27"/>
      <c r="AB2" s="27"/>
    </row>
    <row r="3" spans="2:28">
      <c r="B3" s="10"/>
      <c r="C3" s="10" t="s">
        <v>259</v>
      </c>
      <c r="D3" s="10" t="s">
        <v>260</v>
      </c>
      <c r="H3" s="10"/>
      <c r="I3" s="10" t="s">
        <v>259</v>
      </c>
      <c r="J3" s="10" t="s">
        <v>260</v>
      </c>
      <c r="O3" s="10"/>
      <c r="P3" s="10" t="s">
        <v>259</v>
      </c>
      <c r="Q3" s="10" t="s">
        <v>260</v>
      </c>
      <c r="U3" s="119"/>
      <c r="V3" s="119"/>
      <c r="W3" s="120"/>
      <c r="Y3" s="121"/>
      <c r="Z3" s="121"/>
      <c r="AA3" s="121"/>
      <c r="AB3" s="121"/>
    </row>
    <row r="4" spans="2:28">
      <c r="B4" s="10">
        <v>1</v>
      </c>
      <c r="C4" s="10">
        <v>3</v>
      </c>
      <c r="D4" s="10">
        <v>2</v>
      </c>
      <c r="H4" s="10">
        <v>1</v>
      </c>
      <c r="I4" s="10">
        <v>5</v>
      </c>
      <c r="J4" s="10">
        <v>1</v>
      </c>
      <c r="O4" s="10">
        <v>1</v>
      </c>
      <c r="P4" s="10">
        <v>8</v>
      </c>
      <c r="Q4" s="10">
        <v>2</v>
      </c>
      <c r="U4" s="120"/>
      <c r="V4" s="120"/>
      <c r="W4" s="120"/>
      <c r="Y4" s="27"/>
      <c r="Z4" s="27"/>
      <c r="AA4" s="27"/>
      <c r="AB4" s="27"/>
    </row>
    <row r="5" spans="2:28">
      <c r="B5" s="10">
        <f>SUM(B4+ 1)</f>
        <v>2</v>
      </c>
      <c r="C5" s="10">
        <v>2</v>
      </c>
      <c r="D5" s="10">
        <v>1</v>
      </c>
      <c r="H5" s="10">
        <f>SUM(H4+ 1)</f>
        <v>2</v>
      </c>
      <c r="I5" s="10">
        <v>3</v>
      </c>
      <c r="J5" s="10">
        <v>5</v>
      </c>
      <c r="O5" s="10">
        <f>SUM(O4+ 1)</f>
        <v>2</v>
      </c>
      <c r="P5" s="10">
        <v>9</v>
      </c>
      <c r="Q5" s="10">
        <v>4</v>
      </c>
      <c r="U5" s="122"/>
      <c r="V5" s="120"/>
      <c r="W5" s="120"/>
      <c r="Y5" s="123"/>
      <c r="Z5" s="27"/>
      <c r="AA5" s="120"/>
      <c r="AB5" s="27"/>
    </row>
    <row r="6" spans="2:28">
      <c r="B6" s="10">
        <f t="shared" ref="B6:B13" si="0">SUM(B5+ 1)</f>
        <v>3</v>
      </c>
      <c r="C6" s="10">
        <v>1</v>
      </c>
      <c r="D6" s="10">
        <v>5</v>
      </c>
      <c r="H6" s="10">
        <f t="shared" ref="H6:H9" si="1">SUM(H5+ 1)</f>
        <v>3</v>
      </c>
      <c r="I6" s="10">
        <v>2</v>
      </c>
      <c r="J6" s="10">
        <v>6</v>
      </c>
      <c r="O6" s="10">
        <f t="shared" ref="O6:O9" si="2">SUM(O5+ 1)</f>
        <v>3</v>
      </c>
      <c r="P6" s="10">
        <v>12</v>
      </c>
      <c r="Q6" s="10">
        <v>13</v>
      </c>
      <c r="U6" s="124"/>
      <c r="V6" s="120"/>
      <c r="W6" s="120"/>
      <c r="Y6" s="125"/>
      <c r="Z6" s="27"/>
      <c r="AA6" s="27"/>
      <c r="AB6" s="27"/>
    </row>
    <row r="7" spans="2:28">
      <c r="B7" s="10">
        <f t="shared" si="0"/>
        <v>4</v>
      </c>
      <c r="C7" s="10">
        <v>1</v>
      </c>
      <c r="D7" s="10">
        <v>1</v>
      </c>
      <c r="H7" s="10">
        <f t="shared" si="1"/>
        <v>4</v>
      </c>
      <c r="I7" s="10">
        <v>6</v>
      </c>
      <c r="J7" s="10">
        <v>3</v>
      </c>
      <c r="O7" s="10">
        <f t="shared" si="2"/>
        <v>4</v>
      </c>
      <c r="P7" s="10">
        <v>8</v>
      </c>
      <c r="Q7" s="10">
        <v>7</v>
      </c>
      <c r="U7" s="124"/>
      <c r="V7" s="120"/>
      <c r="W7" s="120"/>
      <c r="Y7" s="125"/>
      <c r="Z7" s="27"/>
      <c r="AA7" s="27"/>
      <c r="AB7" s="27"/>
    </row>
    <row r="8" spans="2:28">
      <c r="B8" s="10">
        <f t="shared" si="0"/>
        <v>5</v>
      </c>
      <c r="C8" s="10">
        <v>2</v>
      </c>
      <c r="D8" s="10">
        <v>2</v>
      </c>
      <c r="H8" s="10">
        <f t="shared" si="1"/>
        <v>5</v>
      </c>
      <c r="I8" s="10">
        <v>8</v>
      </c>
      <c r="J8" s="10">
        <v>9</v>
      </c>
      <c r="O8" s="10">
        <f t="shared" si="2"/>
        <v>5</v>
      </c>
      <c r="P8" s="10">
        <v>3</v>
      </c>
      <c r="Q8" s="10">
        <v>3</v>
      </c>
      <c r="U8" s="124"/>
      <c r="V8" s="120"/>
      <c r="W8" s="120"/>
      <c r="Y8" s="125"/>
      <c r="Z8" s="27"/>
      <c r="AA8" s="126"/>
      <c r="AB8" s="27"/>
    </row>
    <row r="9" spans="2:28">
      <c r="B9" s="10">
        <f t="shared" si="0"/>
        <v>6</v>
      </c>
      <c r="C9" s="10">
        <v>2</v>
      </c>
      <c r="D9" s="10">
        <v>1</v>
      </c>
      <c r="H9" s="10">
        <f t="shared" si="1"/>
        <v>6</v>
      </c>
      <c r="I9" s="10">
        <v>2</v>
      </c>
      <c r="J9" s="10">
        <v>5</v>
      </c>
      <c r="O9" s="10">
        <f t="shared" si="2"/>
        <v>6</v>
      </c>
      <c r="P9" s="10">
        <v>2</v>
      </c>
      <c r="Q9" s="10">
        <v>7</v>
      </c>
    </row>
    <row r="10" spans="2:28">
      <c r="B10" s="10">
        <f>SUM(B9+ 1)</f>
        <v>7</v>
      </c>
      <c r="C10" s="10">
        <v>1</v>
      </c>
      <c r="D10" s="10">
        <v>2</v>
      </c>
      <c r="H10" s="10">
        <f>SUM(H9+ 1)</f>
        <v>7</v>
      </c>
      <c r="I10" s="10">
        <v>1</v>
      </c>
      <c r="J10" s="10">
        <v>2</v>
      </c>
      <c r="O10" s="10">
        <f>SUM(O9+ 1)</f>
        <v>7</v>
      </c>
      <c r="P10" s="10">
        <v>5</v>
      </c>
      <c r="Q10" s="10">
        <v>9</v>
      </c>
    </row>
    <row r="11" spans="2:28">
      <c r="B11" s="10">
        <f t="shared" si="0"/>
        <v>8</v>
      </c>
      <c r="C11" s="10">
        <v>1</v>
      </c>
      <c r="D11" s="10">
        <v>3</v>
      </c>
      <c r="H11" s="10">
        <f t="shared" ref="H11" si="3">SUM(H10+ 1)</f>
        <v>8</v>
      </c>
      <c r="I11" s="10">
        <v>5</v>
      </c>
      <c r="J11" s="10">
        <v>6</v>
      </c>
      <c r="O11" s="10">
        <f t="shared" ref="O11" si="4">SUM(O10+ 1)</f>
        <v>8</v>
      </c>
      <c r="P11" s="10">
        <v>6</v>
      </c>
      <c r="Q11" s="10">
        <v>5</v>
      </c>
    </row>
    <row r="12" spans="2:28">
      <c r="B12" s="10">
        <f>SUM(B11+ 1)</f>
        <v>9</v>
      </c>
      <c r="C12" s="10">
        <v>1</v>
      </c>
      <c r="D12" s="10">
        <v>1</v>
      </c>
      <c r="H12" s="10">
        <f>SUM(H11+ 1)</f>
        <v>9</v>
      </c>
      <c r="I12" s="10">
        <v>3</v>
      </c>
      <c r="J12" s="10">
        <v>3</v>
      </c>
      <c r="O12" s="10">
        <f>SUM(O11+ 1)</f>
        <v>9</v>
      </c>
      <c r="P12" s="10">
        <v>3</v>
      </c>
      <c r="Q12" s="10">
        <v>6</v>
      </c>
    </row>
    <row r="13" spans="2:28">
      <c r="B13" s="10">
        <f t="shared" si="0"/>
        <v>10</v>
      </c>
      <c r="C13" s="10">
        <v>1</v>
      </c>
      <c r="D13" s="10">
        <v>1</v>
      </c>
      <c r="H13" s="10">
        <f t="shared" ref="H13" si="5">SUM(H12+ 1)</f>
        <v>10</v>
      </c>
      <c r="I13" s="10">
        <v>1</v>
      </c>
      <c r="J13" s="10">
        <v>1</v>
      </c>
      <c r="O13" s="10">
        <f t="shared" ref="O13" si="6">SUM(O12+ 1)</f>
        <v>10</v>
      </c>
      <c r="P13" s="10">
        <v>8</v>
      </c>
      <c r="Q13" s="10">
        <v>4</v>
      </c>
    </row>
    <row r="14" spans="2:28">
      <c r="B14" s="127" t="s">
        <v>261</v>
      </c>
      <c r="C14" s="128">
        <f>AVERAGE(C2:C13)</f>
        <v>1.5</v>
      </c>
      <c r="D14" s="128">
        <f xml:space="preserve"> AVERAGE(D2:D13)</f>
        <v>1.9</v>
      </c>
      <c r="H14" s="127" t="s">
        <v>261</v>
      </c>
      <c r="I14" s="10">
        <f>AVERAGE(I4:I13)</f>
        <v>3.6</v>
      </c>
      <c r="J14" s="10">
        <f xml:space="preserve"> AVERAGE(J4:J13)</f>
        <v>4.0999999999999996</v>
      </c>
      <c r="O14" s="127" t="s">
        <v>261</v>
      </c>
      <c r="P14" s="10">
        <f>AVERAGE(P4:P13)</f>
        <v>6.4</v>
      </c>
      <c r="Q14" s="10">
        <f>AVERAGE(Q4:Q13)</f>
        <v>6</v>
      </c>
    </row>
    <row r="15" spans="2:28" ht="15" thickBot="1">
      <c r="I15" s="129"/>
      <c r="P15" s="129"/>
      <c r="T15" s="130" t="s">
        <v>262</v>
      </c>
      <c r="U15" s="130" t="s">
        <v>263</v>
      </c>
    </row>
    <row r="16" spans="2:28" ht="15" thickBot="1">
      <c r="B16" s="163" t="s">
        <v>264</v>
      </c>
      <c r="C16" s="164"/>
      <c r="D16" s="165"/>
      <c r="H16" s="163" t="s">
        <v>265</v>
      </c>
      <c r="I16" s="164"/>
      <c r="J16" s="165"/>
      <c r="O16" s="163" t="s">
        <v>266</v>
      </c>
      <c r="P16" s="164"/>
      <c r="Q16" s="165"/>
      <c r="T16" s="130" t="s">
        <v>267</v>
      </c>
      <c r="U16" s="130" t="s">
        <v>268</v>
      </c>
    </row>
    <row r="17" spans="2:21">
      <c r="B17" t="s">
        <v>269</v>
      </c>
      <c r="C17">
        <v>50</v>
      </c>
      <c r="D17" t="s">
        <v>237</v>
      </c>
      <c r="H17" t="s">
        <v>269</v>
      </c>
      <c r="I17">
        <v>50</v>
      </c>
      <c r="J17" t="s">
        <v>237</v>
      </c>
      <c r="O17" t="s">
        <v>269</v>
      </c>
      <c r="P17">
        <v>50</v>
      </c>
      <c r="Q17" t="s">
        <v>237</v>
      </c>
      <c r="T17" s="130" t="s">
        <v>270</v>
      </c>
      <c r="U17" s="10" t="s">
        <v>271</v>
      </c>
    </row>
    <row r="18" spans="2:21">
      <c r="B18" t="s">
        <v>272</v>
      </c>
      <c r="C18" s="131">
        <f>'ON-P Fixed Inputs'!$K$12</f>
        <v>0.37667123985905826</v>
      </c>
      <c r="D18" t="s">
        <v>273</v>
      </c>
      <c r="H18" t="s">
        <v>272</v>
      </c>
      <c r="I18" s="131">
        <f>'ON-P Fixed Inputs'!$K$12</f>
        <v>0.37667123985905826</v>
      </c>
      <c r="J18" t="s">
        <v>273</v>
      </c>
      <c r="O18" t="s">
        <v>272</v>
      </c>
      <c r="P18" s="131">
        <f>'ON-P Fixed Inputs'!$K$12</f>
        <v>0.37667123985905826</v>
      </c>
      <c r="Q18" t="s">
        <v>273</v>
      </c>
      <c r="T18" s="130" t="s">
        <v>274</v>
      </c>
      <c r="U18" s="10" t="s">
        <v>275</v>
      </c>
    </row>
    <row r="19" spans="2:21">
      <c r="B19" t="s">
        <v>276</v>
      </c>
      <c r="C19" s="131">
        <f>'ON-P Fixed Inputs'!$K$11</f>
        <v>15.443520834221436</v>
      </c>
      <c r="D19" t="s">
        <v>273</v>
      </c>
      <c r="H19" t="s">
        <v>276</v>
      </c>
      <c r="I19" s="131">
        <f>'ON-P Fixed Inputs'!$K$11</f>
        <v>15.443520834221436</v>
      </c>
      <c r="J19" t="s">
        <v>273</v>
      </c>
      <c r="O19" t="s">
        <v>276</v>
      </c>
      <c r="P19" s="131">
        <f>'ON-P Fixed Inputs'!$K$11</f>
        <v>15.443520834221436</v>
      </c>
      <c r="Q19" t="s">
        <v>273</v>
      </c>
      <c r="T19" s="132"/>
      <c r="U19" s="27"/>
    </row>
    <row r="20" spans="2:21">
      <c r="B20" s="133" t="s">
        <v>262</v>
      </c>
      <c r="C20" s="134">
        <v>40</v>
      </c>
      <c r="D20" s="133" t="s">
        <v>263</v>
      </c>
      <c r="H20" s="133" t="s">
        <v>262</v>
      </c>
      <c r="I20" s="134">
        <v>40</v>
      </c>
      <c r="J20" s="133" t="s">
        <v>263</v>
      </c>
      <c r="O20" s="133" t="s">
        <v>262</v>
      </c>
      <c r="P20" s="134">
        <v>40</v>
      </c>
      <c r="Q20" s="133" t="s">
        <v>263</v>
      </c>
    </row>
    <row r="21" spans="2:21">
      <c r="B21" s="132" t="s">
        <v>267</v>
      </c>
      <c r="C21" s="134">
        <v>3</v>
      </c>
      <c r="D21" s="133" t="s">
        <v>268</v>
      </c>
      <c r="H21" s="132" t="s">
        <v>267</v>
      </c>
      <c r="I21" s="134">
        <v>3</v>
      </c>
      <c r="J21" s="133" t="s">
        <v>268</v>
      </c>
      <c r="O21" s="132" t="s">
        <v>267</v>
      </c>
      <c r="P21" s="134">
        <v>3</v>
      </c>
      <c r="Q21" s="133" t="s">
        <v>268</v>
      </c>
    </row>
    <row r="22" spans="2:21">
      <c r="B22" s="135" t="s">
        <v>270</v>
      </c>
      <c r="C22" s="134">
        <v>20</v>
      </c>
      <c r="D22" s="133" t="s">
        <v>271</v>
      </c>
      <c r="H22" s="135" t="s">
        <v>270</v>
      </c>
      <c r="I22" s="134">
        <v>20</v>
      </c>
      <c r="J22" s="133" t="s">
        <v>271</v>
      </c>
      <c r="O22" s="135" t="s">
        <v>270</v>
      </c>
      <c r="P22" s="134">
        <v>20</v>
      </c>
      <c r="Q22" s="133" t="s">
        <v>271</v>
      </c>
    </row>
    <row r="23" spans="2:21">
      <c r="B23" s="132" t="s">
        <v>275</v>
      </c>
      <c r="C23" s="134">
        <v>5</v>
      </c>
      <c r="D23" t="s">
        <v>275</v>
      </c>
      <c r="H23" s="132" t="s">
        <v>275</v>
      </c>
      <c r="I23" s="134">
        <v>3</v>
      </c>
      <c r="J23" t="s">
        <v>275</v>
      </c>
      <c r="O23" s="132" t="s">
        <v>275</v>
      </c>
      <c r="P23" s="134">
        <v>1</v>
      </c>
      <c r="Q23" t="s">
        <v>275</v>
      </c>
    </row>
    <row r="24" spans="2:21">
      <c r="B24" s="133" t="s">
        <v>277</v>
      </c>
      <c r="C24" s="134">
        <v>145</v>
      </c>
      <c r="D24" s="133" t="s">
        <v>278</v>
      </c>
      <c r="H24" s="133" t="s">
        <v>277</v>
      </c>
      <c r="I24" s="134">
        <v>145</v>
      </c>
      <c r="J24" s="133" t="s">
        <v>278</v>
      </c>
      <c r="O24" s="133" t="s">
        <v>277</v>
      </c>
      <c r="P24" s="134">
        <v>145</v>
      </c>
      <c r="Q24" s="133" t="s">
        <v>278</v>
      </c>
    </row>
    <row r="25" spans="2:21">
      <c r="B25" s="133"/>
      <c r="C25" s="134"/>
      <c r="H25" s="133"/>
      <c r="I25" s="134"/>
      <c r="O25" s="133"/>
      <c r="P25" s="134"/>
    </row>
    <row r="26" spans="2:21">
      <c r="B26" s="133" t="s">
        <v>279</v>
      </c>
      <c r="C26" t="s">
        <v>280</v>
      </c>
      <c r="D26" s="136" t="s">
        <v>281</v>
      </c>
      <c r="E26" t="s">
        <v>282</v>
      </c>
      <c r="F26" t="s">
        <v>283</v>
      </c>
      <c r="G26" s="136"/>
      <c r="H26" s="133" t="s">
        <v>279</v>
      </c>
      <c r="I26" t="s">
        <v>280</v>
      </c>
      <c r="J26" s="136" t="s">
        <v>281</v>
      </c>
      <c r="K26" t="s">
        <v>282</v>
      </c>
      <c r="L26" t="s">
        <v>283</v>
      </c>
      <c r="O26" s="133" t="s">
        <v>279</v>
      </c>
      <c r="P26" t="s">
        <v>280</v>
      </c>
      <c r="Q26" s="136" t="s">
        <v>281</v>
      </c>
      <c r="R26" t="s">
        <v>282</v>
      </c>
      <c r="S26" t="s">
        <v>283</v>
      </c>
    </row>
    <row r="27" spans="2:21">
      <c r="B27" s="133">
        <v>10</v>
      </c>
      <c r="C27">
        <f>1-EXP(-1*((B27/(C20+C22*((6-C23)-0.5)))^C21))</f>
        <v>7.9680851629393423E-3</v>
      </c>
      <c r="D27">
        <f xml:space="preserve"> C27*C17</f>
        <v>0.39840425814696712</v>
      </c>
      <c r="E27">
        <f>($C$17*$C$24)*C27</f>
        <v>57.768617431310233</v>
      </c>
      <c r="F27" s="9">
        <f>(D27*$C$19)+(E27*$C$18)</f>
        <v>27.912541213930453</v>
      </c>
      <c r="G27" s="9"/>
      <c r="H27" s="133">
        <v>10</v>
      </c>
      <c r="I27">
        <f>1-EXP(-1*((H27/(I20+I22*((6-I23)-0.5)))^I21))</f>
        <v>1.3708017043195797E-3</v>
      </c>
      <c r="J27">
        <f xml:space="preserve"> I27*I17</f>
        <v>6.8540085215978985E-2</v>
      </c>
      <c r="K27">
        <f>($I$17*$I$24)*I27</f>
        <v>9.9383123563169526</v>
      </c>
      <c r="L27" s="9">
        <f>(J27*$I$19)+(K27*$I$18)</f>
        <v>4.8019766713727901</v>
      </c>
      <c r="O27" s="133">
        <v>10</v>
      </c>
      <c r="P27">
        <f>1-EXP(-1*((O27/(P20+P22*((6-P23)-0.5)))^P21))</f>
        <v>4.5506256324878702E-4</v>
      </c>
      <c r="Q27">
        <f xml:space="preserve"> P27*P17</f>
        <v>2.2753128162439351E-2</v>
      </c>
      <c r="R27">
        <f>($I$17*$I$24)*P27</f>
        <v>3.2992035835537061</v>
      </c>
      <c r="S27" s="9">
        <f>(Q27*$I$19)+(R27*$I$18)</f>
        <v>1.5941035131849652</v>
      </c>
    </row>
    <row r="28" spans="2:21">
      <c r="B28" s="133">
        <v>15</v>
      </c>
      <c r="C28">
        <f>1-EXP(-1*((B28/(C20+C22*((6-C23)-0.5)))^C21))</f>
        <v>2.6638758475663216E-2</v>
      </c>
      <c r="D28">
        <f xml:space="preserve"> C28*C17</f>
        <v>1.3319379237831608</v>
      </c>
      <c r="E28">
        <f t="shared" ref="E28:E45" si="7">($C$17*$C$24)*C28</f>
        <v>193.1309989485583</v>
      </c>
      <c r="F28" s="9">
        <f t="shared" ref="F28:F45" si="8">(D28*$C$19)+(E28*$C$18)</f>
        <v>93.316703905006818</v>
      </c>
      <c r="H28" s="133">
        <v>15</v>
      </c>
      <c r="I28">
        <f>1-EXP(-1*((H28/(I20+I22*((6-I23)-0.5)))^I21))</f>
        <v>4.6189294134239001E-3</v>
      </c>
      <c r="J28">
        <f xml:space="preserve"> I28*I17</f>
        <v>0.230946470671195</v>
      </c>
      <c r="K28">
        <f t="shared" ref="K28:K45" si="9">($I$17*$I$24)*I28</f>
        <v>33.487238247323276</v>
      </c>
      <c r="L28" s="9">
        <f t="shared" ref="L28:L45" si="10">(J28*$I$19)+(K28*$I$18)</f>
        <v>16.180306181475444</v>
      </c>
      <c r="O28" s="133">
        <v>15</v>
      </c>
      <c r="P28">
        <f>1-EXP(-1*((O28/(P20+P22*((6-P23)-0.5)))^P21))</f>
        <v>1.5350063784858037E-3</v>
      </c>
      <c r="Q28">
        <f xml:space="preserve"> P28*P17</f>
        <v>7.6750318924290184E-2</v>
      </c>
      <c r="R28">
        <f t="shared" ref="R28:R45" si="11">($I$17*$I$24)*P28</f>
        <v>11.128796244022077</v>
      </c>
      <c r="S28" s="9">
        <f t="shared" ref="S28:S45" si="12">(Q28*$I$19)+(R28*$I$18)</f>
        <v>5.3771926287150418</v>
      </c>
    </row>
    <row r="29" spans="2:21">
      <c r="B29" s="133">
        <v>20</v>
      </c>
      <c r="C29">
        <f>1-EXP(-1*((B29/(C20+C22*((6-C23)-0.5)))^C21))</f>
        <v>6.1995000469270534E-2</v>
      </c>
      <c r="D29">
        <f xml:space="preserve"> C29*C17</f>
        <v>3.0997500234635265</v>
      </c>
      <c r="E29">
        <f t="shared" si="7"/>
        <v>449.46375340221135</v>
      </c>
      <c r="F29" s="9">
        <f t="shared" si="8"/>
        <v>217.17112333395431</v>
      </c>
      <c r="H29" s="133">
        <v>20</v>
      </c>
      <c r="I29">
        <f>1-EXP(-1*((H29/(I20+I22*((6-I23)-0.5)))^I21))</f>
        <v>1.0913942911613961E-2</v>
      </c>
      <c r="J29">
        <f xml:space="preserve"> I29*I17</f>
        <v>0.54569714558069804</v>
      </c>
      <c r="K29">
        <f t="shared" si="9"/>
        <v>79.126086109201211</v>
      </c>
      <c r="L29" s="9">
        <f t="shared" si="10"/>
        <v>38.232006196898105</v>
      </c>
      <c r="O29" s="133">
        <v>20</v>
      </c>
      <c r="P29">
        <f>1-EXP(-1*((O29/(P20+P22*((6-P23)-0.5)))^P21))</f>
        <v>3.6347074859417461E-3</v>
      </c>
      <c r="Q29">
        <f xml:space="preserve"> P29*P17</f>
        <v>0.1817353742970873</v>
      </c>
      <c r="R29">
        <f t="shared" si="11"/>
        <v>26.351629273077659</v>
      </c>
      <c r="S29" s="9">
        <f t="shared" si="12"/>
        <v>12.732534909868516</v>
      </c>
    </row>
    <row r="30" spans="2:21">
      <c r="B30" s="133">
        <v>25</v>
      </c>
      <c r="C30">
        <f>1-EXP(-1*((B30/(C20+C22*((6-C23)-0.5)))^C21))</f>
        <v>0.11750309741540454</v>
      </c>
      <c r="D30">
        <f xml:space="preserve"> C30*C17</f>
        <v>5.8751548707702277</v>
      </c>
      <c r="E30">
        <f t="shared" si="7"/>
        <v>851.89745626168292</v>
      </c>
      <c r="F30" s="9">
        <f t="shared" si="8"/>
        <v>411.61834773388352</v>
      </c>
      <c r="H30" s="133">
        <v>25</v>
      </c>
      <c r="I30">
        <f>1-EXP(-1*((H30/(I20+I22*((6-I23)-0.5)))^I21))</f>
        <v>2.1205405989404014E-2</v>
      </c>
      <c r="J30">
        <f xml:space="preserve"> I30*I17</f>
        <v>1.0602702994702007</v>
      </c>
      <c r="K30">
        <f t="shared" si="9"/>
        <v>153.7391934231791</v>
      </c>
      <c r="L30" s="9">
        <f t="shared" si="10"/>
        <v>74.283439061414697</v>
      </c>
      <c r="O30" s="133">
        <v>25</v>
      </c>
      <c r="P30">
        <f>1-EXP(-1*((O30/(P20+P22*((6-P23)-0.5)))^P21))</f>
        <v>7.0867406521656351E-3</v>
      </c>
      <c r="Q30">
        <f xml:space="preserve"> P30*P17</f>
        <v>0.35433703260828175</v>
      </c>
      <c r="R30">
        <f t="shared" si="11"/>
        <v>51.378869728200854</v>
      </c>
      <c r="S30" s="9">
        <f t="shared" si="12"/>
        <v>24.825153908500649</v>
      </c>
    </row>
    <row r="31" spans="2:21">
      <c r="B31" s="133">
        <v>30</v>
      </c>
      <c r="C31">
        <f>1-EXP(-1*((B31/(C20+C22*((6-C23)-0.5)))^C21))</f>
        <v>0.19426469812652036</v>
      </c>
      <c r="D31">
        <f xml:space="preserve"> C31*C17</f>
        <v>9.7132349063260186</v>
      </c>
      <c r="E31">
        <f t="shared" si="7"/>
        <v>1408.4190614172726</v>
      </c>
      <c r="F31" s="9">
        <f t="shared" si="8"/>
        <v>680.51749974870791</v>
      </c>
      <c r="H31" s="133">
        <v>30</v>
      </c>
      <c r="I31">
        <f>1-EXP(-1*((H31/(I20+I22*((6-I23)-0.5)))^I21))</f>
        <v>3.6359555698713741E-2</v>
      </c>
      <c r="J31">
        <f xml:space="preserve"> I31*I17</f>
        <v>1.8179777849356871</v>
      </c>
      <c r="K31">
        <f t="shared" si="9"/>
        <v>263.6067788156746</v>
      </c>
      <c r="L31" s="9">
        <f t="shared" si="10"/>
        <v>127.3690700095587</v>
      </c>
      <c r="O31" s="133">
        <v>30</v>
      </c>
      <c r="P31">
        <f>1-EXP(-1*((O31/(P20+P22*((6-P23)-0.5)))^P21))</f>
        <v>1.2214278335061612E-2</v>
      </c>
      <c r="Q31">
        <f xml:space="preserve"> P31*P17</f>
        <v>0.61071391675308062</v>
      </c>
      <c r="R31">
        <f t="shared" si="11"/>
        <v>88.553517929196687</v>
      </c>
      <c r="S31" s="9">
        <f t="shared" si="12"/>
        <v>42.787136489397035</v>
      </c>
    </row>
    <row r="32" spans="2:21">
      <c r="B32" s="133">
        <v>35</v>
      </c>
      <c r="C32">
        <f>1-EXP(-1*((B32/(C20+C22*((6-C23)-0.5)))^C21))</f>
        <v>0.29036178843979132</v>
      </c>
      <c r="D32">
        <f xml:space="preserve"> C32*C17</f>
        <v>14.518089421989567</v>
      </c>
      <c r="E32">
        <f t="shared" si="7"/>
        <v>2105.1229661884872</v>
      </c>
      <c r="F32" s="9">
        <f t="shared" si="8"/>
        <v>1017.1496941915816</v>
      </c>
      <c r="H32" s="133">
        <v>35</v>
      </c>
      <c r="I32">
        <f>1-EXP(-1*((H32/(I20+I22*((6-I23)-0.5)))^I21))</f>
        <v>5.7117345958941912E-2</v>
      </c>
      <c r="J32">
        <f xml:space="preserve"> I32*I17</f>
        <v>2.8558672979470954</v>
      </c>
      <c r="K32">
        <f t="shared" si="9"/>
        <v>414.10075820232885</v>
      </c>
      <c r="L32" s="9">
        <f t="shared" si="10"/>
        <v>200.08449213426493</v>
      </c>
      <c r="O32" s="133">
        <v>35</v>
      </c>
      <c r="P32">
        <f>1-EXP(-1*((O32/(P20+P22*((6-P23)-0.5)))^P21))</f>
        <v>1.9326058305879634E-2</v>
      </c>
      <c r="Q32">
        <f xml:space="preserve"> P32*P17</f>
        <v>0.96630291529398171</v>
      </c>
      <c r="R32">
        <f t="shared" si="11"/>
        <v>140.11392271762736</v>
      </c>
      <c r="S32" s="9">
        <f t="shared" si="12"/>
        <v>67.700004196076492</v>
      </c>
    </row>
    <row r="33" spans="2:19">
      <c r="B33" s="133">
        <v>40</v>
      </c>
      <c r="C33">
        <f>1-EXP(-1*((B33/(C20+C22*((6-C23)-0.5)))^C21))</f>
        <v>0.40070421215446161</v>
      </c>
      <c r="D33">
        <f xml:space="preserve"> C33*C17</f>
        <v>20.03521060772308</v>
      </c>
      <c r="E33">
        <f t="shared" si="7"/>
        <v>2905.1055381198466</v>
      </c>
      <c r="F33" s="9">
        <f t="shared" si="8"/>
        <v>1403.6838974034049</v>
      </c>
      <c r="H33" s="133">
        <v>40</v>
      </c>
      <c r="I33">
        <f>1-EXP(-1*((H33/(I20+I22*((6-I23)-0.5)))^I21))</f>
        <v>8.4048162829827189E-2</v>
      </c>
      <c r="J33">
        <f xml:space="preserve"> I33*I17</f>
        <v>4.2024081414913592</v>
      </c>
      <c r="K33">
        <f t="shared" si="9"/>
        <v>609.34918051624709</v>
      </c>
      <c r="L33" s="9">
        <f t="shared" si="10"/>
        <v>294.42428901917947</v>
      </c>
      <c r="O33" s="133">
        <v>40</v>
      </c>
      <c r="P33">
        <f>1-EXP(-1*((O33/(P20+P22*((6-P23)-0.5)))^P21))</f>
        <v>2.8710425982246379E-2</v>
      </c>
      <c r="Q33">
        <f xml:space="preserve"> P33*P17</f>
        <v>1.435521299112319</v>
      </c>
      <c r="R33">
        <f t="shared" si="11"/>
        <v>208.15058837128626</v>
      </c>
      <c r="S33" s="9">
        <f t="shared" si="12"/>
        <v>100.57384329001459</v>
      </c>
    </row>
    <row r="34" spans="2:19">
      <c r="B34" s="133">
        <v>45</v>
      </c>
      <c r="C34">
        <f>1-EXP(-1*((B34/(C20+C22*((6-C23)-0.5)))^C21))</f>
        <v>0.51760885988487404</v>
      </c>
      <c r="D34">
        <f xml:space="preserve"> C34*C17</f>
        <v>25.880442994243701</v>
      </c>
      <c r="E34">
        <f t="shared" si="7"/>
        <v>3752.6642341653369</v>
      </c>
      <c r="F34" s="9">
        <f t="shared" si="8"/>
        <v>1813.2058504382835</v>
      </c>
      <c r="H34" s="133">
        <v>45</v>
      </c>
      <c r="I34">
        <f>1-EXP(-1*((H34/(I20+I22*((6-I23)-0.5)))^I21))</f>
        <v>0.11750309741540454</v>
      </c>
      <c r="J34">
        <f xml:space="preserve"> I34*I17</f>
        <v>5.8751548707702277</v>
      </c>
      <c r="K34">
        <f t="shared" si="9"/>
        <v>851.89745626168292</v>
      </c>
      <c r="L34" s="9">
        <f t="shared" si="10"/>
        <v>411.61834773388352</v>
      </c>
      <c r="O34" s="133">
        <v>45</v>
      </c>
      <c r="P34">
        <f>1-EXP(-1*((O34/(P20+P22*((6-P23)-0.5)))^P21))</f>
        <v>4.0628612906939421E-2</v>
      </c>
      <c r="Q34">
        <f xml:space="preserve"> P34*P17</f>
        <v>2.0314306453469708</v>
      </c>
      <c r="R34">
        <f t="shared" si="11"/>
        <v>294.5574435753108</v>
      </c>
      <c r="S34" s="9">
        <f t="shared" si="12"/>
        <v>142.32375897591874</v>
      </c>
    </row>
    <row r="35" spans="2:19">
      <c r="B35" s="133">
        <v>50</v>
      </c>
      <c r="C35">
        <f>1-EXP(-1*((B35/(C20+C22*((6-C23)-0.5)))^C21))</f>
        <v>0.63212055882855767</v>
      </c>
      <c r="D35">
        <f xml:space="preserve"> C35*C17</f>
        <v>31.606027941427882</v>
      </c>
      <c r="E35">
        <f t="shared" si="7"/>
        <v>4582.8740515070431</v>
      </c>
      <c r="F35" s="9">
        <f t="shared" si="8"/>
        <v>2214.3452020994901</v>
      </c>
      <c r="H35" s="133">
        <v>50</v>
      </c>
      <c r="I35">
        <f>1-EXP(-1*((H35/(I20+I22*((6-I23)-0.5)))^I21))</f>
        <v>0.15757257597808305</v>
      </c>
      <c r="J35">
        <f xml:space="preserve"> I35*I17</f>
        <v>7.8786287989041526</v>
      </c>
      <c r="K35">
        <f t="shared" si="9"/>
        <v>1142.401175841102</v>
      </c>
      <c r="L35" s="9">
        <f t="shared" si="10"/>
        <v>551.98343532148726</v>
      </c>
      <c r="O35" s="133">
        <v>50</v>
      </c>
      <c r="P35">
        <f>1-EXP(-1*((O35/(P20+P22*((6-P23)-0.5)))^P21))</f>
        <v>5.5307467585817061E-2</v>
      </c>
      <c r="Q35">
        <f xml:space="preserve"> P35*P17</f>
        <v>2.7653733792908533</v>
      </c>
      <c r="R35">
        <f t="shared" si="11"/>
        <v>400.97913999717366</v>
      </c>
      <c r="S35" s="9">
        <f t="shared" si="12"/>
        <v>193.74441121783394</v>
      </c>
    </row>
    <row r="36" spans="2:19">
      <c r="B36" s="133">
        <v>55</v>
      </c>
      <c r="C36">
        <f>1-EXP(-1*((B36/(C20+C22*((6-C23)-0.5)))^C21))</f>
        <v>0.73578708376691382</v>
      </c>
      <c r="D36">
        <f xml:space="preserve"> C36*C17</f>
        <v>36.78935418834569</v>
      </c>
      <c r="E36">
        <f t="shared" si="7"/>
        <v>5334.456357310125</v>
      </c>
      <c r="F36" s="9">
        <f t="shared" si="8"/>
        <v>2577.4934479673084</v>
      </c>
      <c r="H36" s="133">
        <v>55</v>
      </c>
      <c r="I36">
        <f>1-EXP(-1*((H36/(I20+I22*((6-I23)-0.5)))^I21))</f>
        <v>0.20405372884456718</v>
      </c>
      <c r="J36">
        <f xml:space="preserve"> I36*I17</f>
        <v>10.202686442228359</v>
      </c>
      <c r="K36">
        <f t="shared" si="9"/>
        <v>1479.3895341231121</v>
      </c>
      <c r="L36" s="9">
        <f t="shared" si="10"/>
        <v>714.80889068824945</v>
      </c>
      <c r="O36" s="133">
        <v>55</v>
      </c>
      <c r="P36">
        <f>1-EXP(-1*((O36/(P20+P22*((6-P23)-0.5)))^P21))</f>
        <v>7.2931911575052188E-2</v>
      </c>
      <c r="Q36">
        <f xml:space="preserve"> P36*P17</f>
        <v>3.6465955787526094</v>
      </c>
      <c r="R36">
        <f t="shared" si="11"/>
        <v>528.75635891912839</v>
      </c>
      <c r="S36" s="9">
        <f t="shared" si="12"/>
        <v>255.48358809187499</v>
      </c>
    </row>
    <row r="37" spans="2:19">
      <c r="B37" s="133">
        <v>60</v>
      </c>
      <c r="C37">
        <f>1-EXP(-1*((B37/(C20+C22*((6-C23)-0.5)))^C21))</f>
        <v>0.82236066640486505</v>
      </c>
      <c r="D37">
        <f xml:space="preserve"> C37*C17</f>
        <v>41.118033320243249</v>
      </c>
      <c r="E37">
        <f t="shared" si="7"/>
        <v>5962.1148314352713</v>
      </c>
      <c r="F37" s="9">
        <f t="shared" si="8"/>
        <v>2880.7643899821915</v>
      </c>
      <c r="H37" s="133">
        <v>60</v>
      </c>
      <c r="I37">
        <f>1-EXP(-1*((H37/(I20+I22*((6-I23)-0.5)))^I21))</f>
        <v>0.25643292079409363</v>
      </c>
      <c r="J37">
        <f xml:space="preserve"> I37*I17</f>
        <v>12.821646039704682</v>
      </c>
      <c r="K37">
        <f t="shared" si="9"/>
        <v>1859.1386757571788</v>
      </c>
      <c r="L37" s="9">
        <f t="shared" si="10"/>
        <v>898.29542781057626</v>
      </c>
      <c r="O37" s="133">
        <v>60</v>
      </c>
      <c r="P37">
        <f>1-EXP(-1*((O37/(P20+P22*((6-P23)-0.5)))^P21))</f>
        <v>9.3637448075796437E-2</v>
      </c>
      <c r="Q37">
        <f xml:space="preserve"> P37*P17</f>
        <v>4.6818724037898214</v>
      </c>
      <c r="R37">
        <f t="shared" si="11"/>
        <v>678.87149854952418</v>
      </c>
      <c r="S37" s="9">
        <f t="shared" si="12"/>
        <v>328.01596307472062</v>
      </c>
    </row>
    <row r="38" spans="2:19">
      <c r="B38" s="133">
        <v>65</v>
      </c>
      <c r="C38">
        <f>1-EXP(-1*((B38/(C20+C22*((6-C23)-0.5)))^C21))</f>
        <v>0.88886393304937816</v>
      </c>
      <c r="D38">
        <f xml:space="preserve"> C38*C17</f>
        <v>44.443196652468906</v>
      </c>
      <c r="E38">
        <f t="shared" si="7"/>
        <v>6444.263514607992</v>
      </c>
      <c r="F38" s="9">
        <f t="shared" si="8"/>
        <v>3113.7281614676886</v>
      </c>
      <c r="H38" s="133">
        <v>65</v>
      </c>
      <c r="I38">
        <f>1-EXP(-1*((H38/(I20+I22*((6-I23)-0.5)))^I21))</f>
        <v>0.31388819098895338</v>
      </c>
      <c r="J38">
        <f xml:space="preserve"> I38*I17</f>
        <v>15.694409549447668</v>
      </c>
      <c r="K38">
        <f t="shared" si="9"/>
        <v>2275.6893846699118</v>
      </c>
      <c r="L38" s="9">
        <f t="shared" si="10"/>
        <v>1099.5636829154118</v>
      </c>
      <c r="O38" s="133">
        <v>65</v>
      </c>
      <c r="P38">
        <f>1-EXP(-1*((O38/(P20+P22*((6-P23)-0.5)))^P21))</f>
        <v>0.11750309741540454</v>
      </c>
      <c r="Q38">
        <f xml:space="preserve"> P38*P17</f>
        <v>5.8751548707702277</v>
      </c>
      <c r="R38">
        <f t="shared" si="11"/>
        <v>851.89745626168292</v>
      </c>
      <c r="S38" s="9">
        <f t="shared" si="12"/>
        <v>411.61834773388352</v>
      </c>
    </row>
    <row r="39" spans="2:19">
      <c r="B39" s="133">
        <v>70</v>
      </c>
      <c r="C39">
        <f>1-EXP(-1*((B39/(C20+C22*((6-C23)-0.5)))^C21))</f>
        <v>0.93568741861969118</v>
      </c>
      <c r="D39">
        <f xml:space="preserve"> C39*C17</f>
        <v>46.784370930984558</v>
      </c>
      <c r="E39">
        <f t="shared" si="7"/>
        <v>6783.7337849927608</v>
      </c>
      <c r="F39" s="9">
        <f t="shared" si="8"/>
        <v>3277.7528228556089</v>
      </c>
      <c r="H39" s="133">
        <v>70</v>
      </c>
      <c r="I39">
        <f>1-EXP(-1*((H39/(I20+I22*((6-I23)-0.5)))^I21))</f>
        <v>0.3753148677449214</v>
      </c>
      <c r="J39">
        <f xml:space="preserve"> I39*I17</f>
        <v>18.765743387246069</v>
      </c>
      <c r="K39">
        <f t="shared" si="9"/>
        <v>2721.0327911506802</v>
      </c>
      <c r="L39" s="9">
        <f t="shared" si="10"/>
        <v>1314.7439441104684</v>
      </c>
      <c r="O39" s="133">
        <v>70</v>
      </c>
      <c r="P39">
        <f>1-EXP(-1*((O39/(P20+P22*((6-P23)-0.5)))^P21))</f>
        <v>0.14454516824467589</v>
      </c>
      <c r="Q39">
        <f xml:space="preserve"> P39*P17</f>
        <v>7.2272584122337946</v>
      </c>
      <c r="R39">
        <f t="shared" si="11"/>
        <v>1047.9524697739002</v>
      </c>
      <c r="S39" s="9">
        <f t="shared" si="12"/>
        <v>506.34787196673199</v>
      </c>
    </row>
    <row r="40" spans="2:19">
      <c r="B40" s="133">
        <v>75</v>
      </c>
      <c r="C40">
        <f>1-EXP(-1*((B40/(C20+C22*((6-C23)-0.5)))^C21))</f>
        <v>0.96578188168833401</v>
      </c>
      <c r="D40">
        <f xml:space="preserve"> C40*C17</f>
        <v>48.289094084416703</v>
      </c>
      <c r="E40">
        <f t="shared" si="7"/>
        <v>7001.9186422404218</v>
      </c>
      <c r="F40" s="9">
        <f t="shared" si="8"/>
        <v>3383.1750069233221</v>
      </c>
      <c r="H40" s="133">
        <v>75</v>
      </c>
      <c r="I40">
        <f>1-EXP(-1*((H40/(I20+I22*((6-I23)-0.5)))^I21))</f>
        <v>0.4393753686302293</v>
      </c>
      <c r="J40">
        <f xml:space="preserve"> I40*I17</f>
        <v>21.968768431511464</v>
      </c>
      <c r="K40">
        <f t="shared" si="9"/>
        <v>3185.4714225691623</v>
      </c>
      <c r="L40" s="9">
        <f t="shared" si="10"/>
        <v>1539.1506032489579</v>
      </c>
      <c r="O40" s="133">
        <v>75</v>
      </c>
      <c r="P40">
        <f>1-EXP(-1*((O40/(P20+P22*((6-P23)-0.5)))^P21))</f>
        <v>0.17471228952459517</v>
      </c>
      <c r="Q40">
        <f xml:space="preserve"> P40*P17</f>
        <v>8.7356144762297578</v>
      </c>
      <c r="R40">
        <f t="shared" si="11"/>
        <v>1266.6640990533149</v>
      </c>
      <c r="S40" s="9">
        <f t="shared" si="12"/>
        <v>612.02458083874967</v>
      </c>
    </row>
    <row r="41" spans="2:19">
      <c r="B41" s="133">
        <v>80</v>
      </c>
      <c r="C41">
        <f>1-EXP(-1*((B41/(C20+C22*((6-C23)-0.5)))^C21))</f>
        <v>0.98336090113827634</v>
      </c>
      <c r="D41">
        <f xml:space="preserve"> C41*C17</f>
        <v>49.168045056913819</v>
      </c>
      <c r="E41">
        <f t="shared" si="7"/>
        <v>7129.3665332525034</v>
      </c>
      <c r="F41" s="9">
        <f t="shared" si="8"/>
        <v>3444.7550597042832</v>
      </c>
      <c r="H41" s="133">
        <v>80</v>
      </c>
      <c r="I41">
        <f>1-EXP(-1*((H41/(I20+I22*((6-I23)-0.5)))^I21))</f>
        <v>0.50457136488616383</v>
      </c>
      <c r="J41">
        <f xml:space="preserve"> I41*I17</f>
        <v>25.228568244308192</v>
      </c>
      <c r="K41">
        <f t="shared" si="9"/>
        <v>3658.1423954246879</v>
      </c>
      <c r="L41" s="9">
        <f t="shared" si="10"/>
        <v>1767.5349509641533</v>
      </c>
      <c r="O41" s="133">
        <v>80</v>
      </c>
      <c r="P41">
        <f>1-EXP(-1*((O41/(P20+P22*((6-P23)-0.5)))^P21))</f>
        <v>0.20788212125805927</v>
      </c>
      <c r="Q41">
        <f xml:space="preserve"> P41*P17</f>
        <v>10.394106062902964</v>
      </c>
      <c r="R41">
        <f t="shared" si="11"/>
        <v>1507.1453791209296</v>
      </c>
      <c r="S41" s="9">
        <f t="shared" si="12"/>
        <v>728.21991213688034</v>
      </c>
    </row>
    <row r="42" spans="2:19">
      <c r="B42" s="133">
        <v>85</v>
      </c>
      <c r="C42">
        <f>1-EXP(-1*((B42/(C20+C22*((6-C23)-0.5)))^C21))</f>
        <v>0.99264959599057989</v>
      </c>
      <c r="D42">
        <f xml:space="preserve"> C42*C17</f>
        <v>49.632479799528994</v>
      </c>
      <c r="E42">
        <f t="shared" si="7"/>
        <v>7196.7095709317045</v>
      </c>
      <c r="F42" s="9">
        <f t="shared" si="8"/>
        <v>3477.293752826497</v>
      </c>
      <c r="H42" s="133">
        <v>85</v>
      </c>
      <c r="I42">
        <f>1-EXP(-1*((H42/(I20+I22*((6-I23)-0.5)))^I21))</f>
        <v>0.56933343734829267</v>
      </c>
      <c r="J42">
        <f xml:space="preserve"> I42*I17</f>
        <v>28.466671867414632</v>
      </c>
      <c r="K42">
        <f t="shared" si="9"/>
        <v>4127.6674207751221</v>
      </c>
      <c r="L42" s="9">
        <f t="shared" si="10"/>
        <v>1994.3992451745694</v>
      </c>
      <c r="O42" s="133">
        <v>85</v>
      </c>
      <c r="P42">
        <f>1-EXP(-1*((O42/(P20+P22*((6-P23)-0.5)))^P21))</f>
        <v>0.24386012724892558</v>
      </c>
      <c r="Q42">
        <f xml:space="preserve"> P42*P17</f>
        <v>12.19300636244628</v>
      </c>
      <c r="R42">
        <f t="shared" si="11"/>
        <v>1767.9859225547104</v>
      </c>
      <c r="S42" s="9">
        <f t="shared" si="12"/>
        <v>854.25239729227746</v>
      </c>
    </row>
    <row r="43" spans="2:19">
      <c r="B43" s="133">
        <v>90</v>
      </c>
      <c r="C43">
        <f>1-EXP(-1*((B43/(C20+C22*((6-C23)-0.5)))^C21))</f>
        <v>0.99706779330149842</v>
      </c>
      <c r="D43">
        <f xml:space="preserve"> C43*C17</f>
        <v>49.853389665074921</v>
      </c>
      <c r="E43">
        <f t="shared" si="7"/>
        <v>7228.7415014358639</v>
      </c>
      <c r="F43" s="9">
        <f t="shared" si="8"/>
        <v>3492.7708859156214</v>
      </c>
      <c r="H43" s="133">
        <v>90</v>
      </c>
      <c r="I43">
        <f>1-EXP(-1*((H43/(I20+I22*((6-I23)-0.5)))^I21))</f>
        <v>0.63212055882855767</v>
      </c>
      <c r="J43">
        <f xml:space="preserve"> I43*I17</f>
        <v>31.606027941427882</v>
      </c>
      <c r="K43">
        <f t="shared" si="9"/>
        <v>4582.8740515070431</v>
      </c>
      <c r="L43" s="9">
        <f t="shared" si="10"/>
        <v>2214.3452020994901</v>
      </c>
      <c r="O43" s="133">
        <v>90</v>
      </c>
      <c r="P43">
        <f>1-EXP(-1*((O43/(P20+P22*((6-P23)-0.5)))^P21))</f>
        <v>0.28238072833751138</v>
      </c>
      <c r="Q43">
        <f xml:space="preserve"> P43*P17</f>
        <v>14.119036416875568</v>
      </c>
      <c r="R43">
        <f t="shared" si="11"/>
        <v>2047.2602804469575</v>
      </c>
      <c r="S43" s="9">
        <f t="shared" si="12"/>
        <v>989.19170121330785</v>
      </c>
    </row>
    <row r="44" spans="2:19">
      <c r="B44" s="133">
        <v>95</v>
      </c>
      <c r="C44">
        <f>1-EXP(-1*((B44/(C20+C22*((6-C23)-0.5)))^C21))</f>
        <v>0.99895003662880777</v>
      </c>
      <c r="D44">
        <f xml:space="preserve"> C44*C17</f>
        <v>49.947501831440391</v>
      </c>
      <c r="E44">
        <f t="shared" si="7"/>
        <v>7242.3877655588567</v>
      </c>
      <c r="F44" s="9">
        <f t="shared" si="8"/>
        <v>3499.3644643442922</v>
      </c>
      <c r="H44" s="133">
        <v>95</v>
      </c>
      <c r="I44">
        <f>1-EXP(-1*((H44/(I20+I22*((6-I23)-0.5)))^I21))</f>
        <v>0.69151973042847392</v>
      </c>
      <c r="J44">
        <f xml:space="preserve"> I44*I17</f>
        <v>34.575986521423694</v>
      </c>
      <c r="K44">
        <f t="shared" si="9"/>
        <v>5013.5180456064363</v>
      </c>
      <c r="L44" s="9">
        <f t="shared" si="10"/>
        <v>2422.4230265017054</v>
      </c>
      <c r="O44" s="133">
        <v>95</v>
      </c>
      <c r="P44">
        <f>1-EXP(-1*((O44/(P20+P22*((6-P23)-0.5)))^P21))</f>
        <v>0.32311105915353733</v>
      </c>
      <c r="Q44">
        <f xml:space="preserve"> P44*P17</f>
        <v>16.155552957676868</v>
      </c>
      <c r="R44">
        <f t="shared" si="11"/>
        <v>2342.5551788631456</v>
      </c>
      <c r="S44" s="9">
        <f t="shared" si="12"/>
        <v>1131.8717823508896</v>
      </c>
    </row>
    <row r="45" spans="2:19">
      <c r="B45" s="133">
        <v>100</v>
      </c>
      <c r="C45">
        <f>1-EXP(-1*((B45/(C20+C22*((6-C23)-0.5)))^C21))</f>
        <v>0.99966453737209748</v>
      </c>
      <c r="D45">
        <f xml:space="preserve"> C45*C17</f>
        <v>49.983226868604874</v>
      </c>
      <c r="E45">
        <f t="shared" si="7"/>
        <v>7247.5678959477063</v>
      </c>
      <c r="F45" s="9">
        <f t="shared" si="8"/>
        <v>3501.8673908362448</v>
      </c>
      <c r="H45" s="133">
        <v>100</v>
      </c>
      <c r="I45">
        <f>1-EXP(-1*((H45/(I20+I22*((6-I23)-0.5)))^I21))</f>
        <v>0.7463353379755312</v>
      </c>
      <c r="J45">
        <f xml:space="preserve"> I45*I17</f>
        <v>37.316766898776557</v>
      </c>
      <c r="K45">
        <f t="shared" si="9"/>
        <v>5410.9312003226014</v>
      </c>
      <c r="L45" s="9">
        <f t="shared" si="10"/>
        <v>2614.444431084617</v>
      </c>
      <c r="O45" s="133">
        <v>100</v>
      </c>
      <c r="P45">
        <f>1-EXP(-1*((O45/(P20+P22*((6-P23)-0.5)))^P21))</f>
        <v>0.3656574277154313</v>
      </c>
      <c r="Q45">
        <f xml:space="preserve"> P45*P17</f>
        <v>18.282871385771564</v>
      </c>
      <c r="R45">
        <f t="shared" si="11"/>
        <v>2651.0163509368767</v>
      </c>
      <c r="S45" s="9">
        <f t="shared" si="12"/>
        <v>1280.9135209495837</v>
      </c>
    </row>
    <row r="49" spans="3:4" ht="29.1">
      <c r="C49" s="137" t="s">
        <v>284</v>
      </c>
      <c r="D49" s="138" t="s">
        <v>285</v>
      </c>
    </row>
    <row r="50" spans="3:4">
      <c r="C50" s="139">
        <v>0</v>
      </c>
      <c r="D50" s="138">
        <v>20</v>
      </c>
    </row>
    <row r="51" spans="3:4">
      <c r="C51" s="140" t="s">
        <v>286</v>
      </c>
      <c r="D51" s="141">
        <v>15</v>
      </c>
    </row>
    <row r="52" spans="3:4">
      <c r="C52" s="140" t="s">
        <v>287</v>
      </c>
      <c r="D52" s="141">
        <v>10</v>
      </c>
    </row>
    <row r="53" spans="3:4">
      <c r="C53" s="140" t="s">
        <v>288</v>
      </c>
      <c r="D53" s="141">
        <v>5</v>
      </c>
    </row>
    <row r="54" spans="3:4">
      <c r="C54" s="138" t="s">
        <v>289</v>
      </c>
      <c r="D54" s="141">
        <v>0</v>
      </c>
    </row>
    <row r="55" spans="3:4">
      <c r="D55" s="136"/>
    </row>
    <row r="56" spans="3:4">
      <c r="D56" s="136"/>
    </row>
    <row r="57" spans="3:4">
      <c r="D57" s="136"/>
    </row>
    <row r="58" spans="3:4">
      <c r="D58" s="136"/>
    </row>
    <row r="59" spans="3:4">
      <c r="D59" s="136"/>
    </row>
    <row r="60" spans="3:4">
      <c r="D60" s="136"/>
    </row>
    <row r="61" spans="3:4">
      <c r="D61" s="136"/>
    </row>
    <row r="62" spans="3:4">
      <c r="D62" s="136"/>
    </row>
    <row r="63" spans="3:4">
      <c r="D63" s="136"/>
    </row>
    <row r="64" spans="3:4">
      <c r="D64" s="136"/>
    </row>
    <row r="65" spans="4:4">
      <c r="D65" s="136"/>
    </row>
    <row r="66" spans="4:4">
      <c r="D66" s="136"/>
    </row>
    <row r="67" spans="4:4">
      <c r="D67" s="136"/>
    </row>
    <row r="68" spans="4:4">
      <c r="D68" s="136"/>
    </row>
  </sheetData>
  <mergeCells count="3">
    <mergeCell ref="B16:D16"/>
    <mergeCell ref="H16:J16"/>
    <mergeCell ref="O16:Q16"/>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A204-9EED-49F9-928F-FB7BD27C1B4B}">
  <dimension ref="A1"/>
  <sheetViews>
    <sheetView workbookViewId="0">
      <selection activeCell="H17" sqref="H17"/>
    </sheetView>
  </sheetViews>
  <sheetFormatPr defaultRowHeight="14.45"/>
  <sheetData>
    <row r="1" spans="1:1">
      <c r="A1" s="118" t="s">
        <v>135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1</_ip_UnifiedCompliancePolicyUIAction>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933DDE7CEEDE459F447CD035D71404" ma:contentTypeVersion="14" ma:contentTypeDescription="Create a new document." ma:contentTypeScope="" ma:versionID="38ffbc3343e2a5d18a4cc9acc6cded69">
  <xsd:schema xmlns:xsd="http://www.w3.org/2001/XMLSchema" xmlns:xs="http://www.w3.org/2001/XMLSchema" xmlns:p="http://schemas.microsoft.com/office/2006/metadata/properties" xmlns:ns1="http://schemas.microsoft.com/sharepoint/v3" xmlns:ns2="6b55a666-67fc-440c-9f39-8b2e87e57261" xmlns:ns3="5b1e88cd-8b17-4859-8e2c-162eba40608f" targetNamespace="http://schemas.microsoft.com/office/2006/metadata/properties" ma:root="true" ma:fieldsID="8e5ec4ff6571488671d813d53430a46e" ns1:_="" ns2:_="" ns3:_="">
    <xsd:import namespace="http://schemas.microsoft.com/sharepoint/v3"/>
    <xsd:import namespace="6b55a666-67fc-440c-9f39-8b2e87e57261"/>
    <xsd:import namespace="5b1e88cd-8b17-4859-8e2c-162eba40608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55a666-67fc-440c-9f39-8b2e87e5726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1e88cd-8b17-4859-8e2c-162eba40608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418FA3-DE66-47D7-B9FD-B2F31080481A}"/>
</file>

<file path=customXml/itemProps2.xml><?xml version="1.0" encoding="utf-8"?>
<ds:datastoreItem xmlns:ds="http://schemas.openxmlformats.org/officeDocument/2006/customXml" ds:itemID="{12DC40E9-E44D-42CA-9A43-39722810BE3A}"/>
</file>

<file path=customXml/itemProps3.xml><?xml version="1.0" encoding="utf-8"?>
<ds:datastoreItem xmlns:ds="http://schemas.openxmlformats.org/officeDocument/2006/customXml" ds:itemID="{44B7B46C-F138-467E-9F39-3D1331EAF9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Rhys (Future Networks)</dc:creator>
  <cp:keywords/>
  <dc:description/>
  <cp:lastModifiedBy>Williams, Rhys (Future Networks)</cp:lastModifiedBy>
  <cp:revision/>
  <dcterms:created xsi:type="dcterms:W3CDTF">2020-06-02T13:28:21Z</dcterms:created>
  <dcterms:modified xsi:type="dcterms:W3CDTF">2020-09-03T11:56:45Z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0x0101001F933DDE7CEEDE459F447CD035D71404</vt:lpwstr>
  </property>
</Properties>
</file>